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240" yWindow="108" windowWidth="14808" windowHeight="8016"/>
  </bookViews>
  <sheets>
    <sheet name="Estimatif budgétaire" sheetId="8" r:id="rId1"/>
    <sheet name="CACES" sheetId="1" r:id="rId2"/>
    <sheet name="Risques électriques" sheetId="4" r:id="rId3"/>
    <sheet name="Risques à la personne_SST" sheetId="9" r:id="rId4"/>
    <sheet name="Risques à la personne_PSC1" sheetId="5" r:id="rId5"/>
    <sheet name="Risques à la personne_PRAP" sheetId="10" r:id="rId6"/>
    <sheet name="Risques incendie" sheetId="6" r:id="rId7"/>
    <sheet name="Code&amp;Permis" sheetId="7" r:id="rId8"/>
    <sheet name="Données" sheetId="3" state="hidden" r:id="rId9"/>
  </sheets>
  <definedNames>
    <definedName name="ChoixGroupement">Données!$A$1:$A$4</definedName>
    <definedName name="ChoixLot">Données!$A$6:$A$8</definedName>
    <definedName name="_xlnm.Print_Area" localSheetId="1">CACES!$A$1:$H$36</definedName>
    <definedName name="_xlnm.Print_Area" localSheetId="7">'Code&amp;Permis'!$A$1:$I$28</definedName>
    <definedName name="_xlnm.Print_Area" localSheetId="5">'Risques à la personne_PRAP'!$A$1:$I$20</definedName>
    <definedName name="_xlnm.Print_Area" localSheetId="4">'Risques à la personne_PSC1'!$A$1:$I$17</definedName>
    <definedName name="_xlnm.Print_Area" localSheetId="2">'Risques électriques'!$A$1:$I$62</definedName>
    <definedName name="_xlnm.Print_Area" localSheetId="6">'Risques incendie'!$A$1:$I$19</definedName>
  </definedNames>
  <calcPr calcId="162913"/>
</workbook>
</file>

<file path=xl/calcChain.xml><?xml version="1.0" encoding="utf-8"?>
<calcChain xmlns="http://schemas.openxmlformats.org/spreadsheetml/2006/main">
  <c r="A3" i="4" l="1"/>
  <c r="D51" i="4" l="1"/>
  <c r="D52" i="4"/>
  <c r="G52" i="4"/>
  <c r="B52" i="4"/>
  <c r="B51" i="4"/>
  <c r="G51" i="4"/>
  <c r="B50" i="4"/>
  <c r="B49" i="4"/>
  <c r="B48" i="4"/>
  <c r="B47" i="4"/>
  <c r="B44" i="4"/>
  <c r="B43" i="4"/>
  <c r="B45" i="4"/>
  <c r="B46" i="4"/>
  <c r="B40" i="4"/>
  <c r="B39" i="4"/>
  <c r="B38" i="4"/>
  <c r="B37" i="4"/>
  <c r="B42" i="4"/>
  <c r="B41" i="4"/>
  <c r="B34" i="4"/>
  <c r="B33" i="4"/>
  <c r="B31" i="4"/>
  <c r="B35" i="4"/>
  <c r="B32" i="4"/>
  <c r="B30" i="4"/>
  <c r="B29" i="4"/>
  <c r="B25" i="4"/>
  <c r="B24" i="4"/>
  <c r="B26" i="4"/>
  <c r="B23" i="4"/>
  <c r="B16" i="4"/>
  <c r="D16" i="4" s="1"/>
  <c r="B15" i="4"/>
  <c r="D15" i="4" s="1"/>
  <c r="B18" i="4"/>
  <c r="B17" i="4"/>
  <c r="B12" i="4"/>
  <c r="B11" i="4"/>
  <c r="B14" i="4"/>
  <c r="B10" i="4"/>
  <c r="B9" i="4"/>
  <c r="B7" i="4"/>
  <c r="B8" i="4"/>
  <c r="B13" i="4"/>
  <c r="B21" i="4"/>
  <c r="B19" i="4"/>
  <c r="B20" i="4"/>
  <c r="B22" i="4"/>
  <c r="B28" i="4"/>
  <c r="B27" i="4"/>
  <c r="B36" i="4" l="1"/>
  <c r="G50" i="4" l="1"/>
  <c r="D50" i="4"/>
  <c r="G49" i="4"/>
  <c r="D49" i="4"/>
  <c r="G48" i="4"/>
  <c r="D48" i="4"/>
  <c r="G47" i="4"/>
  <c r="D47" i="4"/>
  <c r="G46" i="4"/>
  <c r="D46" i="4"/>
  <c r="G45" i="4"/>
  <c r="D45" i="4"/>
  <c r="G44" i="4"/>
  <c r="D44" i="4"/>
  <c r="G43" i="4"/>
  <c r="D43" i="4"/>
  <c r="G42" i="4"/>
  <c r="D42" i="4"/>
  <c r="G41" i="4"/>
  <c r="D41" i="4"/>
  <c r="G22" i="4"/>
  <c r="D22" i="4"/>
  <c r="G21" i="4"/>
  <c r="D21" i="4"/>
  <c r="G20" i="4"/>
  <c r="D20" i="4"/>
  <c r="G19" i="4"/>
  <c r="D19" i="4"/>
  <c r="G10" i="4"/>
  <c r="D10" i="4"/>
  <c r="G9" i="4"/>
  <c r="D9" i="4"/>
  <c r="G9" i="10" l="1"/>
  <c r="G10" i="10"/>
  <c r="D9" i="10"/>
  <c r="D10" i="10"/>
  <c r="G16" i="4" l="1"/>
  <c r="G15" i="4"/>
  <c r="G36" i="4"/>
  <c r="G29" i="4"/>
  <c r="G30" i="4"/>
  <c r="G37" i="4"/>
  <c r="G38" i="4"/>
  <c r="G39" i="4"/>
  <c r="G40" i="4"/>
  <c r="G17" i="4"/>
  <c r="G18" i="4"/>
  <c r="G23" i="4"/>
  <c r="G24" i="4"/>
  <c r="G25" i="4"/>
  <c r="D11" i="4"/>
  <c r="D12" i="4"/>
  <c r="D13" i="4"/>
  <c r="D14" i="4"/>
  <c r="D33" i="4"/>
  <c r="D34" i="4"/>
  <c r="D35" i="4"/>
  <c r="D36" i="4"/>
  <c r="D29" i="4"/>
  <c r="D30" i="4"/>
  <c r="D37" i="4"/>
  <c r="D38" i="4"/>
  <c r="D39" i="4"/>
  <c r="D40" i="4"/>
  <c r="D17" i="4"/>
  <c r="D18" i="4"/>
  <c r="D23" i="4"/>
  <c r="D24" i="4"/>
  <c r="D25" i="4"/>
  <c r="A3" i="7" l="1"/>
  <c r="A3" i="6"/>
  <c r="A3" i="10"/>
  <c r="A3" i="5"/>
  <c r="A3" i="9"/>
  <c r="A3" i="1"/>
  <c r="C21" i="7"/>
  <c r="D21" i="7"/>
  <c r="F21" i="7"/>
  <c r="G19" i="7"/>
  <c r="G20" i="7"/>
  <c r="G30" i="1" l="1"/>
  <c r="G29" i="1"/>
  <c r="E23" i="1"/>
  <c r="G23" i="1" s="1"/>
  <c r="E22" i="1"/>
  <c r="G22" i="1" s="1"/>
  <c r="E18" i="7" l="1"/>
  <c r="E17" i="7"/>
  <c r="E16" i="7"/>
  <c r="E15" i="7"/>
  <c r="E14" i="7"/>
  <c r="E13" i="7"/>
  <c r="E12" i="7"/>
  <c r="E11" i="7"/>
  <c r="E10" i="7"/>
  <c r="E9" i="7"/>
  <c r="E8" i="7"/>
  <c r="E7" i="7"/>
  <c r="E10" i="6"/>
  <c r="E9" i="6"/>
  <c r="E8" i="6"/>
  <c r="E7" i="6"/>
  <c r="B8" i="6"/>
  <c r="B7" i="6"/>
  <c r="E8" i="10"/>
  <c r="E7" i="10"/>
  <c r="B8" i="10"/>
  <c r="B7" i="10"/>
  <c r="E7" i="5"/>
  <c r="G7" i="5" s="1"/>
  <c r="B7" i="5"/>
  <c r="D7" i="5"/>
  <c r="D10" i="5" s="1"/>
  <c r="C10" i="8" s="1"/>
  <c r="D8" i="5"/>
  <c r="G8" i="5"/>
  <c r="D9" i="5"/>
  <c r="G9" i="5"/>
  <c r="C10" i="5"/>
  <c r="B10" i="8" s="1"/>
  <c r="F10" i="5"/>
  <c r="D10" i="8" s="1"/>
  <c r="E8" i="9"/>
  <c r="E7" i="9"/>
  <c r="B8" i="9"/>
  <c r="B7" i="9"/>
  <c r="F11" i="9"/>
  <c r="D9" i="8" s="1"/>
  <c r="C11" i="9"/>
  <c r="G10" i="9"/>
  <c r="D10" i="9"/>
  <c r="G9" i="9"/>
  <c r="D9" i="9"/>
  <c r="E28" i="1"/>
  <c r="E27" i="1"/>
  <c r="E26" i="1"/>
  <c r="E25" i="1"/>
  <c r="E24" i="1"/>
  <c r="E21" i="1"/>
  <c r="E20" i="1"/>
  <c r="E19" i="1"/>
  <c r="E18" i="1"/>
  <c r="E17" i="1"/>
  <c r="E16" i="1"/>
  <c r="E15" i="1"/>
  <c r="E14" i="1"/>
  <c r="E13" i="1"/>
  <c r="B12" i="1"/>
  <c r="B11" i="1"/>
  <c r="E10" i="1"/>
  <c r="E9" i="1"/>
  <c r="E8" i="1"/>
  <c r="E7" i="1"/>
  <c r="B15" i="9" l="1"/>
  <c r="F9" i="8" s="1"/>
  <c r="B9" i="8"/>
  <c r="G10" i="5"/>
  <c r="E10" i="8" s="1"/>
  <c r="F13" i="10"/>
  <c r="D11" i="8" s="1"/>
  <c r="C13" i="10"/>
  <c r="G12" i="10"/>
  <c r="D12" i="10"/>
  <c r="G11" i="10"/>
  <c r="D11" i="10"/>
  <c r="G8" i="10"/>
  <c r="D8" i="10"/>
  <c r="G7" i="10"/>
  <c r="D7" i="10"/>
  <c r="G8" i="9"/>
  <c r="D8" i="9"/>
  <c r="G7" i="9"/>
  <c r="G11" i="9" s="1"/>
  <c r="E9" i="8" s="1"/>
  <c r="D7" i="9"/>
  <c r="D11" i="9" s="1"/>
  <c r="C9" i="8" s="1"/>
  <c r="B17" i="10" l="1"/>
  <c r="F11" i="8" s="1"/>
  <c r="B11" i="8"/>
  <c r="D13" i="10"/>
  <c r="C11" i="8" s="1"/>
  <c r="B16" i="9"/>
  <c r="G9" i="8" s="1"/>
  <c r="G13" i="10"/>
  <c r="F31" i="1"/>
  <c r="B18" i="10" l="1"/>
  <c r="G11" i="8" s="1"/>
  <c r="E11" i="8"/>
  <c r="F55" i="4"/>
  <c r="C55" i="4"/>
  <c r="D12" i="1"/>
  <c r="G7" i="4" l="1"/>
  <c r="G8" i="4"/>
  <c r="D7" i="4"/>
  <c r="D8" i="4"/>
  <c r="G16" i="7" l="1"/>
  <c r="G15" i="7"/>
  <c r="G8" i="7" l="1"/>
  <c r="G9" i="7"/>
  <c r="G10" i="7"/>
  <c r="G11" i="7"/>
  <c r="G12" i="7"/>
  <c r="G13" i="7"/>
  <c r="G14" i="7"/>
  <c r="G17" i="7"/>
  <c r="G18" i="7"/>
  <c r="G7" i="7"/>
  <c r="G8" i="6"/>
  <c r="G9" i="6"/>
  <c r="G10" i="6"/>
  <c r="G11" i="6"/>
  <c r="G12" i="6"/>
  <c r="G7" i="6"/>
  <c r="D8" i="6"/>
  <c r="D11" i="6"/>
  <c r="D12" i="6"/>
  <c r="D7" i="6"/>
  <c r="G11" i="4"/>
  <c r="G12" i="4"/>
  <c r="G13" i="4"/>
  <c r="G14" i="4"/>
  <c r="G33" i="4"/>
  <c r="G34" i="4"/>
  <c r="G35" i="4"/>
  <c r="G26" i="4"/>
  <c r="G27" i="4"/>
  <c r="G28" i="4"/>
  <c r="G31" i="4"/>
  <c r="G32" i="4"/>
  <c r="G53" i="4"/>
  <c r="G54" i="4"/>
  <c r="D26" i="4"/>
  <c r="D27" i="4"/>
  <c r="D28" i="4"/>
  <c r="D31" i="4"/>
  <c r="D32" i="4"/>
  <c r="D53" i="4"/>
  <c r="D54" i="4"/>
  <c r="G8" i="1"/>
  <c r="G9" i="1"/>
  <c r="G10" i="1"/>
  <c r="G13" i="1"/>
  <c r="G14" i="1"/>
  <c r="G15" i="1"/>
  <c r="G16" i="1"/>
  <c r="G17" i="1"/>
  <c r="G18" i="1"/>
  <c r="G19" i="1"/>
  <c r="G20" i="1"/>
  <c r="G21" i="1"/>
  <c r="G24" i="1"/>
  <c r="G25" i="1"/>
  <c r="G26" i="1"/>
  <c r="G27" i="1"/>
  <c r="G28" i="1"/>
  <c r="G7" i="1"/>
  <c r="D11" i="1"/>
  <c r="G21" i="7" l="1"/>
  <c r="G55" i="4"/>
  <c r="E8" i="8" s="1"/>
  <c r="D55" i="4"/>
  <c r="C8" i="8" s="1"/>
  <c r="G13" i="6"/>
  <c r="E12" i="8" s="1"/>
  <c r="E13" i="8"/>
  <c r="C13" i="8"/>
  <c r="D13" i="6"/>
  <c r="C12" i="8" s="1"/>
  <c r="G31" i="1"/>
  <c r="E7" i="8" s="1"/>
  <c r="D31" i="1"/>
  <c r="B15" i="5" l="1"/>
  <c r="G10" i="8" s="1"/>
  <c r="B18" i="6"/>
  <c r="G12" i="8" s="1"/>
  <c r="E14" i="8"/>
  <c r="B26" i="7"/>
  <c r="G13" i="8" s="1"/>
  <c r="B60" i="4"/>
  <c r="G8" i="8" s="1"/>
  <c r="C7" i="8"/>
  <c r="B35" i="1"/>
  <c r="G7" i="8" s="1"/>
  <c r="B13" i="8"/>
  <c r="F13" i="6"/>
  <c r="D12" i="8" s="1"/>
  <c r="C13" i="6"/>
  <c r="D8" i="8"/>
  <c r="D7" i="8"/>
  <c r="C31" i="1"/>
  <c r="C14" i="8" l="1"/>
  <c r="G14" i="8"/>
  <c r="B25" i="7"/>
  <c r="F13" i="8" s="1"/>
  <c r="D13" i="8"/>
  <c r="D14" i="8" s="1"/>
  <c r="B12" i="8"/>
  <c r="B17" i="6"/>
  <c r="F12" i="8" s="1"/>
  <c r="B14" i="5"/>
  <c r="F10" i="8" s="1"/>
  <c r="B8" i="8"/>
  <c r="B59" i="4"/>
  <c r="F8" i="8" s="1"/>
  <c r="B7" i="8"/>
  <c r="B34" i="1"/>
  <c r="F7" i="8" s="1"/>
  <c r="F14" i="8" l="1"/>
  <c r="B14" i="8"/>
</calcChain>
</file>

<file path=xl/sharedStrings.xml><?xml version="1.0" encoding="utf-8"?>
<sst xmlns="http://schemas.openxmlformats.org/spreadsheetml/2006/main" count="238" uniqueCount="148">
  <si>
    <t>Formations</t>
  </si>
  <si>
    <t>Commentaires</t>
  </si>
  <si>
    <t>Fait déjà partie du groupement de commandes et maintient sa participation</t>
  </si>
  <si>
    <t>Ne fais pas partie du groupement de commandes mais souhaite l'intégrer à compter 01/01/2017</t>
  </si>
  <si>
    <t>Ne fais pas partie du groupement de commandes mais ne souhaite pas l'intégrer</t>
  </si>
  <si>
    <t>Fait déjà partie du groupement de commandes mais se retire de celui-ci à compter du 01/01/2017</t>
  </si>
  <si>
    <t>Oui, la collectivité/établissement a des besoins pour ce lot et utilisera le prestataire retenu</t>
  </si>
  <si>
    <t>Non, la collectivité/établissement n'a pas de besoin pour ce lot</t>
  </si>
  <si>
    <t>Oui, la collectivité/établissement a des besoins pour ce lot mais utilisera un autre prestataire (CNFPT…)</t>
  </si>
  <si>
    <t>Evacuation</t>
  </si>
  <si>
    <t>MAC SST (Recyclage)</t>
  </si>
  <si>
    <t>Permis BE</t>
  </si>
  <si>
    <t>Permis C</t>
  </si>
  <si>
    <t>Permis CE</t>
  </si>
  <si>
    <t>FCO Voyageurs</t>
  </si>
  <si>
    <t>Manipulation des différents appareils extincteurs</t>
  </si>
  <si>
    <t>Heure de conduite supplémentaire</t>
  </si>
  <si>
    <t>Code de la route</t>
  </si>
  <si>
    <t>CACES PEMP (R486) A</t>
  </si>
  <si>
    <t>Recyclage CACES PEMP (R486) A</t>
  </si>
  <si>
    <t>Recyclage CACES PEMP (R486) B</t>
  </si>
  <si>
    <t>CACES EC (R482) A</t>
  </si>
  <si>
    <t>Recyclage CACES EC (R482) A</t>
  </si>
  <si>
    <t>CACES EC (R482) C1</t>
  </si>
  <si>
    <t>Recyclage CACES EC (R482) C1</t>
  </si>
  <si>
    <t>CACES EC (R482) E</t>
  </si>
  <si>
    <t>Recyclage CACES EC (R482) E</t>
  </si>
  <si>
    <t>CACES EC (R482) F</t>
  </si>
  <si>
    <t>Recyclage  EC (R482) F</t>
  </si>
  <si>
    <t>CACES  EC (R482) G</t>
  </si>
  <si>
    <t>CACES Chariot 3 (R489)</t>
  </si>
  <si>
    <t>Recyclage CACES Chariot 3 (R489)</t>
  </si>
  <si>
    <t>CACES Grue auxiliaire avec ou sans télécommande (R490)</t>
  </si>
  <si>
    <t>Recyclage CACES Grue auxiliaire avec ou sans télécommande (R490)</t>
  </si>
  <si>
    <t>CACES PEMP (R486) B</t>
  </si>
  <si>
    <t>TOTAL FORMATIONS CACES</t>
  </si>
  <si>
    <t>TOTAL FORMATIONS HABILITATIONS ELECTRIQUES</t>
  </si>
  <si>
    <t>Remise à niveau SSIAP 1</t>
  </si>
  <si>
    <t>TOTAL FORMATIONS RISQUES A LA PERSONNE</t>
  </si>
  <si>
    <t>TOTAL FORMATIONS PERMIS DE CONDUIRE ET CODE DE LA ROUTE</t>
  </si>
  <si>
    <t>Mention B96</t>
  </si>
  <si>
    <t>TOTAL FORMATIONS RISQUES INCENDIE</t>
  </si>
  <si>
    <t>CACES</t>
  </si>
  <si>
    <t>Habilitations électriques</t>
  </si>
  <si>
    <t>Risques incendie</t>
  </si>
  <si>
    <t>Permis&amp;code</t>
  </si>
  <si>
    <t>TOTAL</t>
  </si>
  <si>
    <t>Sauveteur Secouriste du Travail (SST)</t>
  </si>
  <si>
    <t>SSIAP 1 initial</t>
  </si>
  <si>
    <t>Permis B</t>
  </si>
  <si>
    <t>Inter-entreprise</t>
  </si>
  <si>
    <t>Intra-entreprise</t>
  </si>
  <si>
    <t xml:space="preserve">Coût estimatif prévisionnel HT  </t>
  </si>
  <si>
    <t>Coût estimatif prévisionnel HT</t>
  </si>
  <si>
    <t>Formations intra-entreprise</t>
  </si>
  <si>
    <t>Formations inter-entreprises</t>
  </si>
  <si>
    <t>Estimation 
financière HT</t>
  </si>
  <si>
    <t>Estimation financière HT</t>
  </si>
  <si>
    <t>Formations inter&amp;intra confondues</t>
  </si>
  <si>
    <t>TOTAL FORMATIONS PERMIS DE CONDUIRE
&amp; CODE DE LA ROUTE
INTRA&amp;INTER ENTRERPISE CONFONDUES</t>
  </si>
  <si>
    <t>TOTAL FORMATIONS RISQUES INCENDIE
INTRA&amp;INTER ENTRERPISE CONFONDUES</t>
  </si>
  <si>
    <t>TOTAL FORMATIONS RISQUES ELECTRIQUES 
INTRA&amp;INTER ENTRERPISE CONFONDUES</t>
  </si>
  <si>
    <t>TOTAL FORMATIONS CACES 
INTRA&amp;INTER ENTRERPISE CONFONDUES</t>
  </si>
  <si>
    <t>PRAP IBC</t>
  </si>
  <si>
    <t>Formation et test final à la conduite en sécurité en vue de la délivrance d'une autorisation de conduite d'un tracteur de plus de 100 CV</t>
  </si>
  <si>
    <t>PSC1</t>
  </si>
  <si>
    <t>session pour personnel petite enfance</t>
  </si>
  <si>
    <r>
      <t xml:space="preserve">Formation et test final à la conduite en sécurité en vue de la délivrance d'une autorisation de conduite d'une balayeuse, d'une faucheuse, d'une tondeuse à conducteur porté </t>
    </r>
    <r>
      <rPr>
        <sz val="11"/>
        <color theme="1"/>
        <rFont val="Liberation Sans"/>
        <family val="2"/>
        <scheme val="minor"/>
      </rPr>
      <t>et d'untracteur de moins de 100VC</t>
    </r>
  </si>
  <si>
    <r>
      <t>Autre (</t>
    </r>
    <r>
      <rPr>
        <i/>
        <sz val="11"/>
        <color theme="1"/>
        <rFont val="Liberation Sans"/>
        <family val="2"/>
        <scheme val="major"/>
      </rPr>
      <t>à préciser</t>
    </r>
    <r>
      <rPr>
        <sz val="11"/>
        <color theme="1"/>
        <rFont val="Liberation Sans"/>
        <family val="2"/>
        <scheme val="major"/>
      </rPr>
      <t xml:space="preserve">) : </t>
    </r>
  </si>
  <si>
    <t>PRAP PE</t>
  </si>
  <si>
    <t xml:space="preserve">FIMO </t>
  </si>
  <si>
    <t>FCO Marchandises</t>
  </si>
  <si>
    <t xml:space="preserve">session "généraliste" </t>
  </si>
  <si>
    <t>Nb d'agent à former pour la période 2026-2028</t>
  </si>
  <si>
    <t>Nb d'agents à former pour la période 
2026-2028</t>
  </si>
  <si>
    <t>Nb d'agents à former pour la période 2026-2028</t>
  </si>
  <si>
    <t>Seconde présentation au test final en cas d'échec au premier</t>
  </si>
  <si>
    <t xml:space="preserve">CACES (R485) Gerbeur catégorie 2 </t>
  </si>
  <si>
    <t>Recyclage CACES (R485) Gerbeur catégorie 2</t>
  </si>
  <si>
    <t>Seconde présentation à l'examen du code de la route en cas d'échec au premier</t>
  </si>
  <si>
    <t>Seconde présentation à l'examen du permis de conduire en cas d'échec au premier</t>
  </si>
  <si>
    <t>[Préciser ici le nom de votre collectivité]</t>
  </si>
  <si>
    <t xml:space="preserve">GROUPEMENT DE COMMANDES POUR LA PERIODE 2025-2028 portant sur l'achat de formations liées à l'hygiène et  la sécutité
Annexe 1 à la convention constitutive - Recensement des besoins prévisionnels 2026-2028 en formations risques incendie
</t>
  </si>
  <si>
    <t>Risques à la personne : PSC1</t>
  </si>
  <si>
    <t>Risques à la personne : SST &amp; MAC SST</t>
  </si>
  <si>
    <t>Risques à la personne : PRAP PE &amp; PRAP IBC</t>
  </si>
  <si>
    <t>Nb d'agent à former pour la période 
2026-2028</t>
  </si>
  <si>
    <t xml:space="preserve">Autre (à préciser) : </t>
  </si>
  <si>
    <t>TOTAL FORMATIONS RISQUES A LA PERSONNE SST &amp; MAC SST INTRA&amp;INTER ENTRERPISE CONFONDUES</t>
  </si>
  <si>
    <t>TOTAL FORMATIONS RISQUES A LA PERSONNE PSC1 INTRA&amp;INTER ENTRERPISE CONFONDUES</t>
  </si>
  <si>
    <t>TOTAL FORMATIONS RISQUES A LA PERSONNE PRAP PE &amp; PRAP IBC INTRA&amp;INTER ENTRERPISE CONFONDUES</t>
  </si>
  <si>
    <t xml:space="preserve">               GROUPEMENT DE COMMANDES 2025-2028 portant sur l'achat de formations liées à l'hygiène et  la sécutité
Annexe 1 à la convention contitutive - Recensement des besoins prévisionnels 2026-2028 en formations
 ESTIMATIF FINANCIERE</t>
  </si>
  <si>
    <t xml:space="preserve">GROUPEMENT DE COMMANDES POUR LA PERIODE 2025-2028 portant sur l'achat de formations liées à l'hygiène et  la sécutité
Annexe 1 à la convention contitutive - Recensement des besoins prévisionnels 2026-2028 en formations CACES </t>
  </si>
  <si>
    <t xml:space="preserve">GROUPEMENT DE COMMANDES POUR LA PERIODE 2025-2028 pour l'achat de formations liées à l'hygiène et  la sécutité
Annexe 1 à la convention constitutive - Recensement des besoins prévisionnels 2026-2028 en formation risques électriques </t>
  </si>
  <si>
    <t>GROUPEMENT DE COMMANDES POUR LA PERIODE 2025-2028 portant sur l'achat de formations liées à l'hygiène et  la sécutité
Annexe 1 à la convention constitutive - Recensement des besoins prévisionnels en formation 2026-2028 risques à la personne SST &amp; MAC SST</t>
  </si>
  <si>
    <t>GROUPEMENT DE COMMANDES POUR LA PERIODE 2025-2028 portant sur  l'achat de formations liées à l'hygiène et  la sécutité
Annexe 1 à la convention constitutive - Recensement des besoins prévisionnels 2026-2028 en formations risques à la personne PSC 1</t>
  </si>
  <si>
    <t>GROUPEMENT DE COMMANDES POUR LA PERIODE 2025-2028 portant sur l'achat de formations liées à l'hygiène et  la sécutité
Annexe 1 à la convention constitutive - Recensement des besoins prévisionnels 2026-2028 en formations risques à la personnes PRAP PE &amp; PRAP IBC</t>
  </si>
  <si>
    <t>GROUPEMENT DE COMMANDES POUR LA PERIODE 2025-2028 portant sur l'achat de formations liées à l'hygiène et  la sécutité
Annexe 1 à la convention constitutive - Recensement des besoins prévisionnels 2026-2028 en formations permis de conduire &amp; code de la route</t>
  </si>
  <si>
    <t xml:space="preserve">PRAP PE Renouvellement </t>
  </si>
  <si>
    <t>PRAP IBC Renouvellement</t>
  </si>
  <si>
    <t>"B0H0 - H0V Chargé de chantier" (initiale)</t>
  </si>
  <si>
    <t>"B0H0 - H0V Chargé de chantier" (recyclage)</t>
  </si>
  <si>
    <t>"H0B0 - H0V Exécutant" (initiale)</t>
  </si>
  <si>
    <t>"H0B0 - H0V Exécutant" (recyclage)</t>
  </si>
  <si>
    <t>"BS BE Manœuvre" (initial)</t>
  </si>
  <si>
    <t>"BS BE Manœuvre" (recyclage)</t>
  </si>
  <si>
    <t>"BF/HF Exécutant" (initial)</t>
  </si>
  <si>
    <t>"BF/HF Exécutant" (recyclage)</t>
  </si>
  <si>
    <t>"BF/HF Chargé de chantier" (initial)</t>
  </si>
  <si>
    <t>"BF/HF Chargé de chantier" (recyclage)</t>
  </si>
  <si>
    <t>"HC" (initial)</t>
  </si>
  <si>
    <t>"HC" (recyclage)</t>
  </si>
  <si>
    <t>"BR" (initial)</t>
  </si>
  <si>
    <t>"BR" (recyclage)</t>
  </si>
  <si>
    <t>"H1V / H2V" (initial)</t>
  </si>
  <si>
    <t>"H1V / H2V" (recyclage)</t>
  </si>
  <si>
    <t>"BE Manœuvre" (initial)</t>
  </si>
  <si>
    <t>"BE Manœuvre" (recyclage)</t>
  </si>
  <si>
    <t>"B1 / B1V" (initiale)</t>
  </si>
  <si>
    <t>"B1 / B1V" (recyclage)</t>
  </si>
  <si>
    <t>"B2 / B2V" (initiale)</t>
  </si>
  <si>
    <t>"B2 / B2V" (recyclage)</t>
  </si>
  <si>
    <t>"B1 / B2 / BR / BC" (initiale)</t>
  </si>
  <si>
    <t>"B1 / B2 / BR / BC" (recyclage)</t>
  </si>
  <si>
    <t>"BR PV" (initial) - Panneaux photovoltaïques</t>
  </si>
  <si>
    <t>"BR PV" (recyclage) - Panneaux photovoltaïques</t>
  </si>
  <si>
    <t>"B0L" (initial) - Véhicule hybride ou électrique
(carrosserie, mécanique, travaux de peinture, ...)</t>
  </si>
  <si>
    <t>"B0L" (recyclage) - Véhicule hybride ou électrique
(carrosserie, mécanique, travaux de peinture, ...)</t>
  </si>
  <si>
    <t>"BCL" (initial) - Véhicule hybride ou électrique (opérations de consignation)</t>
  </si>
  <si>
    <t>"BCL" (recylage) - Véhicule hybride ou électrique (opérations de consignation)</t>
  </si>
  <si>
    <t>"B1XL / B2XL" (initial) - Véhicule électrique ou hybride (opération sur batterie)</t>
  </si>
  <si>
    <t>"B1XL / B2XL" (recyclage) - Véhicule électrique ou hybride (opération sur batterie)</t>
  </si>
  <si>
    <t>"BS" (initial)</t>
  </si>
  <si>
    <t>"BS" (recyclage)</t>
  </si>
  <si>
    <t>"HE Manœuvre HTA" (initial)</t>
  </si>
  <si>
    <t>"HE Manœuvre HTA" (recyclage)</t>
  </si>
  <si>
    <t>"BC" (initial)</t>
  </si>
  <si>
    <t>"BC" (recyclage)</t>
  </si>
  <si>
    <t>"HE Vérification" (initial)</t>
  </si>
  <si>
    <t>"HE Vérification" (recyclage)</t>
  </si>
  <si>
    <t>"BE Vérification" (initial)</t>
  </si>
  <si>
    <t>"BE Vérification" (recyclage)</t>
  </si>
  <si>
    <t>"B1TL / B2TL" (initial) - Véhicule électrique ou hybride (opérations sous tension)</t>
  </si>
  <si>
    <t>"B1TL / B2TL" (recyclage) - Véhicule électrique ou hybride (opérations sous tension)</t>
  </si>
  <si>
    <t>"B1VL Exécutant / B2VL Chargé de travaux" (initial) - Véhicule électrique ou hybride
(opérations d'ordre électrique hors tension)</t>
  </si>
  <si>
    <t>"B1VL Exécutant / B2VL Chargé de travaux" (recyclage) - Véhicule électrique ou hybride
(opérations d'ordre électrique hors tension)</t>
  </si>
  <si>
    <r>
      <t>Autre (</t>
    </r>
    <r>
      <rPr>
        <i/>
        <sz val="11"/>
        <color theme="1"/>
        <rFont val="Liberation Sans"/>
        <scheme val="major"/>
      </rPr>
      <t>à préciser</t>
    </r>
    <r>
      <rPr>
        <sz val="11"/>
        <color theme="1"/>
        <rFont val="Liberation Sans"/>
        <scheme val="major"/>
      </rPr>
      <t xml:space="preserve">) : </t>
    </r>
  </si>
  <si>
    <r>
      <t>Autre (</t>
    </r>
    <r>
      <rPr>
        <i/>
        <sz val="11"/>
        <color theme="1"/>
        <rFont val="Liberation Sans"/>
        <family val="2"/>
        <scheme val="major"/>
      </rPr>
      <t>à préciser</t>
    </r>
    <r>
      <rPr>
        <sz val="11"/>
        <color theme="1"/>
        <rFont val="Liberation Sans"/>
        <family val="2"/>
        <scheme val="major"/>
      </rPr>
      <t>)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</si>
</sst>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164" formatCode="#,##0.00\ &quot;€&quot;"/>
    <numFmt numFmtId="165" formatCode="#,##0\ &quot;€&quot;"/>
    <numFmt numFmtId="166" formatCode="#,##0\ _€"/>
  </numFmts>
  <fonts count="16">
    <font>
      <sz val="11"/>
      <color theme="1"/>
      <name val="Liberation Sans"/>
      <family val="2"/>
      <scheme val="minor"/>
    </font>
    <font>
      <b/>
      <sz val="11"/>
      <color theme="1"/>
      <name val="Liberation Sans"/>
      <family val="2"/>
      <scheme val="minor"/>
    </font>
    <font>
      <sz val="11"/>
      <color theme="1"/>
      <name val="Liberation Sans"/>
      <family val="2"/>
      <scheme val="major"/>
    </font>
    <font>
      <i/>
      <sz val="11"/>
      <color theme="1"/>
      <name val="Liberation Sans"/>
      <family val="2"/>
      <scheme val="major"/>
    </font>
    <font>
      <b/>
      <sz val="11"/>
      <color theme="1"/>
      <name val="Liberation Sans"/>
      <family val="2"/>
      <scheme val="major"/>
    </font>
    <font>
      <b/>
      <u/>
      <sz val="11"/>
      <color theme="1"/>
      <name val="Liberation Sans"/>
      <family val="2"/>
      <scheme val="minor"/>
    </font>
    <font>
      <b/>
      <sz val="11"/>
      <color theme="1"/>
      <name val="Liberation Sans"/>
      <scheme val="minor"/>
    </font>
    <font>
      <b/>
      <sz val="14"/>
      <color theme="1"/>
      <name val="Liberation Sans"/>
      <scheme val="minor"/>
    </font>
    <font>
      <b/>
      <sz val="11"/>
      <color theme="1"/>
      <name val="Liberation Sans"/>
      <scheme val="major"/>
    </font>
    <font>
      <sz val="11"/>
      <color theme="1"/>
      <name val="Liberation Sans"/>
      <scheme val="minor"/>
    </font>
    <font>
      <sz val="9"/>
      <color theme="1"/>
      <name val="Liberation Sans"/>
      <family val="2"/>
      <scheme val="minor"/>
    </font>
    <font>
      <b/>
      <sz val="15"/>
      <color theme="1"/>
      <name val="Arial"/>
      <family val="2"/>
    </font>
    <font>
      <b/>
      <sz val="15"/>
      <color theme="1"/>
      <name val="Liberation Sans"/>
      <scheme val="minor"/>
    </font>
    <font>
      <b/>
      <i/>
      <sz val="14"/>
      <color theme="1"/>
      <name val="Liberation Sans"/>
      <scheme val="minor"/>
    </font>
    <font>
      <sz val="11"/>
      <color theme="1"/>
      <name val="Liberation Sans"/>
      <scheme val="major"/>
    </font>
    <font>
      <i/>
      <sz val="11"/>
      <color theme="1"/>
      <name val="Liberation Sans"/>
      <scheme val="major"/>
    </font>
  </fonts>
  <fills count="8">
    <fill>
      <patternFill patternType="none"/>
    </fill>
    <fill>
      <patternFill patternType="gray125"/>
    </fill>
    <fill>
      <patternFill patternType="lightUp"/>
    </fill>
    <fill>
      <patternFill patternType="solid">
        <fgColor rgb="FF009EE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2" xfId="0" applyFont="1" applyBorder="1" applyAlignment="1" applyProtection="1">
      <alignment vertical="center"/>
      <protection locked="0"/>
    </xf>
    <xf numFmtId="3" fontId="0" fillId="0" borderId="1" xfId="0" applyNumberFormat="1" applyBorder="1" applyAlignment="1" applyProtection="1">
      <alignment horizontal="right" vertical="center"/>
      <protection locked="0"/>
    </xf>
    <xf numFmtId="164" fontId="0" fillId="0" borderId="16" xfId="0" applyNumberFormat="1" applyBorder="1" applyAlignment="1" applyProtection="1">
      <alignment horizontal="right" vertical="center"/>
      <protection locked="0"/>
    </xf>
    <xf numFmtId="3" fontId="0" fillId="0" borderId="28" xfId="0" applyNumberFormat="1" applyBorder="1" applyAlignment="1" applyProtection="1">
      <alignment horizontal="right" vertical="center"/>
      <protection locked="0"/>
    </xf>
    <xf numFmtId="3" fontId="0" fillId="0" borderId="19" xfId="0" applyNumberFormat="1" applyBorder="1" applyAlignment="1" applyProtection="1">
      <alignment horizontal="right" vertical="center"/>
      <protection locked="0"/>
    </xf>
    <xf numFmtId="3" fontId="0" fillId="0" borderId="9" xfId="0" applyNumberFormat="1" applyBorder="1" applyAlignment="1" applyProtection="1">
      <alignment horizontal="right" vertical="center"/>
      <protection locked="0"/>
    </xf>
    <xf numFmtId="164" fontId="0" fillId="0" borderId="16" xfId="0" applyNumberFormat="1" applyFill="1" applyBorder="1" applyAlignment="1" applyProtection="1">
      <alignment horizontal="right" vertical="center"/>
      <protection locked="0"/>
    </xf>
    <xf numFmtId="3" fontId="0" fillId="0" borderId="1" xfId="0" applyNumberForma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3" fontId="0" fillId="0" borderId="9" xfId="0" applyNumberFormat="1" applyFill="1" applyBorder="1" applyAlignment="1" applyProtection="1">
      <alignment horizontal="right" vertical="center"/>
      <protection locked="0"/>
    </xf>
    <xf numFmtId="3" fontId="0" fillId="0" borderId="28" xfId="0" applyNumberFormat="1" applyFill="1" applyBorder="1" applyAlignment="1" applyProtection="1">
      <alignment horizontal="right" vertical="center"/>
      <protection locked="0"/>
    </xf>
    <xf numFmtId="164" fontId="0" fillId="0" borderId="18" xfId="0" applyNumberFormat="1" applyFill="1" applyBorder="1" applyAlignment="1" applyProtection="1">
      <alignment horizontal="right" vertical="center"/>
      <protection locked="0"/>
    </xf>
    <xf numFmtId="0" fontId="0" fillId="0" borderId="29" xfId="0" applyBorder="1" applyAlignment="1" applyProtection="1">
      <alignment vertical="center"/>
    </xf>
    <xf numFmtId="164" fontId="0" fillId="2" borderId="26" xfId="0" applyNumberFormat="1" applyFill="1" applyBorder="1" applyAlignment="1" applyProtection="1">
      <alignment horizontal="right" vertical="center"/>
    </xf>
    <xf numFmtId="164" fontId="0" fillId="2" borderId="14" xfId="0" applyNumberFormat="1" applyFill="1" applyBorder="1" applyAlignment="1" applyProtection="1">
      <alignment horizontal="right" vertical="center"/>
    </xf>
    <xf numFmtId="164" fontId="0" fillId="2" borderId="2" xfId="0" applyNumberFormat="1" applyFill="1" applyBorder="1" applyAlignment="1" applyProtection="1">
      <alignment horizontal="right" vertical="center"/>
    </xf>
    <xf numFmtId="0" fontId="0" fillId="0" borderId="2" xfId="0" applyFont="1" applyBorder="1" applyAlignment="1" applyProtection="1">
      <alignment vertical="center"/>
    </xf>
    <xf numFmtId="164" fontId="0" fillId="2" borderId="44" xfId="0" applyNumberFormat="1" applyFill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0" fontId="0" fillId="0" borderId="2" xfId="0" applyFill="1" applyBorder="1" applyAlignment="1" applyProtection="1">
      <alignment vertical="center"/>
    </xf>
    <xf numFmtId="0" fontId="2" fillId="0" borderId="2" xfId="0" applyFont="1" applyBorder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4" borderId="42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164" fontId="0" fillId="0" borderId="36" xfId="0" applyNumberFormat="1" applyBorder="1" applyAlignment="1" applyProtection="1">
      <alignment horizontal="right" vertical="center"/>
    </xf>
    <xf numFmtId="164" fontId="0" fillId="0" borderId="15" xfId="0" applyNumberFormat="1" applyBorder="1" applyAlignment="1" applyProtection="1">
      <alignment horizontal="right" vertical="center"/>
    </xf>
    <xf numFmtId="0" fontId="0" fillId="0" borderId="10" xfId="0" applyFill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164" fontId="0" fillId="0" borderId="16" xfId="0" applyNumberFormat="1" applyBorder="1" applyAlignment="1" applyProtection="1">
      <alignment horizontal="right" vertical="center"/>
    </xf>
    <xf numFmtId="164" fontId="0" fillId="0" borderId="38" xfId="0" applyNumberFormat="1" applyBorder="1" applyAlignment="1" applyProtection="1">
      <alignment horizontal="right" vertical="center"/>
    </xf>
    <xf numFmtId="0" fontId="0" fillId="0" borderId="20" xfId="0" applyFill="1" applyBorder="1" applyAlignment="1" applyProtection="1">
      <alignment horizontal="left" vertical="center"/>
    </xf>
    <xf numFmtId="164" fontId="0" fillId="0" borderId="16" xfId="0" applyNumberFormat="1" applyFill="1" applyBorder="1" applyAlignment="1" applyProtection="1">
      <alignment horizontal="right" vertical="center"/>
    </xf>
    <xf numFmtId="0" fontId="0" fillId="0" borderId="8" xfId="0" applyBorder="1" applyAlignment="1" applyProtection="1">
      <alignment vertical="center"/>
    </xf>
    <xf numFmtId="164" fontId="0" fillId="0" borderId="37" xfId="0" applyNumberFormat="1" applyFill="1" applyBorder="1" applyAlignment="1" applyProtection="1">
      <alignment horizontal="right" vertical="center"/>
    </xf>
    <xf numFmtId="0" fontId="4" fillId="5" borderId="3" xfId="0" applyFont="1" applyFill="1" applyBorder="1" applyAlignment="1" applyProtection="1">
      <alignment horizontal="right" vertical="center" wrapText="1"/>
    </xf>
    <xf numFmtId="0" fontId="4" fillId="3" borderId="5" xfId="0" applyFont="1" applyFill="1" applyBorder="1" applyAlignment="1" applyProtection="1">
      <alignment horizontal="right" vertical="center"/>
    </xf>
    <xf numFmtId="3" fontId="4" fillId="3" borderId="5" xfId="0" applyNumberFormat="1" applyFont="1" applyFill="1" applyBorder="1" applyAlignment="1" applyProtection="1">
      <alignment horizontal="right" vertical="center"/>
    </xf>
    <xf numFmtId="164" fontId="4" fillId="3" borderId="39" xfId="0" applyNumberFormat="1" applyFont="1" applyFill="1" applyBorder="1" applyAlignment="1" applyProtection="1">
      <alignment horizontal="right" vertical="center"/>
    </xf>
    <xf numFmtId="0" fontId="4" fillId="4" borderId="5" xfId="0" applyFont="1" applyFill="1" applyBorder="1" applyAlignment="1" applyProtection="1">
      <alignment horizontal="right" vertical="center"/>
    </xf>
    <xf numFmtId="3" fontId="4" fillId="4" borderId="5" xfId="0" applyNumberFormat="1" applyFont="1" applyFill="1" applyBorder="1" applyAlignment="1" applyProtection="1">
      <alignment horizontal="right" vertical="center"/>
    </xf>
    <xf numFmtId="164" fontId="4" fillId="4" borderId="39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6" fillId="5" borderId="22" xfId="0" applyFont="1" applyFill="1" applyBorder="1" applyProtection="1"/>
    <xf numFmtId="3" fontId="6" fillId="5" borderId="35" xfId="0" applyNumberFormat="1" applyFont="1" applyFill="1" applyBorder="1" applyProtection="1"/>
    <xf numFmtId="0" fontId="6" fillId="5" borderId="24" xfId="0" applyFont="1" applyFill="1" applyBorder="1" applyProtection="1"/>
    <xf numFmtId="164" fontId="6" fillId="5" borderId="21" xfId="0" applyNumberFormat="1" applyFont="1" applyFill="1" applyBorder="1" applyProtection="1"/>
    <xf numFmtId="0" fontId="12" fillId="0" borderId="0" xfId="0" applyFont="1" applyFill="1" applyAlignment="1" applyProtection="1">
      <alignment horizontal="center"/>
    </xf>
    <xf numFmtId="0" fontId="0" fillId="0" borderId="0" xfId="0" applyFill="1" applyProtection="1"/>
    <xf numFmtId="8" fontId="0" fillId="0" borderId="36" xfId="0" applyNumberFormat="1" applyFill="1" applyBorder="1" applyAlignment="1" applyProtection="1">
      <alignment horizontal="right" vertical="center"/>
    </xf>
    <xf numFmtId="164" fontId="0" fillId="0" borderId="15" xfId="0" applyNumberFormat="1" applyFill="1" applyBorder="1" applyAlignment="1" applyProtection="1">
      <alignment horizontal="right" vertical="center"/>
    </xf>
    <xf numFmtId="0" fontId="0" fillId="0" borderId="22" xfId="0" applyFill="1" applyBorder="1" applyAlignment="1" applyProtection="1">
      <alignment horizontal="left" vertical="center" wrapText="1"/>
    </xf>
    <xf numFmtId="8" fontId="0" fillId="0" borderId="16" xfId="0" applyNumberFormat="1" applyFill="1" applyBorder="1" applyAlignment="1" applyProtection="1">
      <alignment horizontal="right" vertical="center"/>
    </xf>
    <xf numFmtId="164" fontId="0" fillId="0" borderId="38" xfId="0" applyNumberFormat="1" applyFill="1" applyBorder="1" applyAlignment="1" applyProtection="1">
      <alignment horizontal="right" vertical="center"/>
    </xf>
    <xf numFmtId="0" fontId="0" fillId="0" borderId="23" xfId="0" applyFill="1" applyBorder="1" applyAlignment="1" applyProtection="1">
      <alignment horizontal="left" vertical="center"/>
    </xf>
    <xf numFmtId="164" fontId="0" fillId="0" borderId="43" xfId="0" applyNumberFormat="1" applyFill="1" applyBorder="1" applyAlignment="1" applyProtection="1">
      <alignment horizontal="right" vertical="center"/>
    </xf>
    <xf numFmtId="164" fontId="0" fillId="0" borderId="43" xfId="0" applyNumberFormat="1" applyBorder="1" applyAlignment="1" applyProtection="1">
      <alignment horizontal="right" vertical="center"/>
    </xf>
    <xf numFmtId="0" fontId="9" fillId="0" borderId="2" xfId="0" applyFont="1" applyFill="1" applyBorder="1" applyAlignment="1" applyProtection="1">
      <alignment vertical="center"/>
    </xf>
    <xf numFmtId="164" fontId="0" fillId="0" borderId="17" xfId="0" applyNumberFormat="1" applyFill="1" applyBorder="1" applyAlignment="1" applyProtection="1">
      <alignment horizontal="right" vertical="center"/>
    </xf>
    <xf numFmtId="0" fontId="0" fillId="0" borderId="23" xfId="0" applyFill="1" applyBorder="1" applyAlignment="1" applyProtection="1">
      <alignment horizontal="left" vertical="center" wrapText="1"/>
    </xf>
    <xf numFmtId="164" fontId="0" fillId="0" borderId="12" xfId="0" applyNumberFormat="1" applyFill="1" applyBorder="1" applyAlignment="1" applyProtection="1">
      <alignment horizontal="right" vertical="center"/>
    </xf>
    <xf numFmtId="0" fontId="0" fillId="0" borderId="30" xfId="0" applyFill="1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 wrapText="1"/>
    </xf>
    <xf numFmtId="0" fontId="0" fillId="0" borderId="47" xfId="0" applyFill="1" applyBorder="1" applyAlignment="1" applyProtection="1">
      <alignment horizontal="left" vertical="center"/>
    </xf>
    <xf numFmtId="164" fontId="0" fillId="2" borderId="48" xfId="0" applyNumberFormat="1" applyFill="1" applyBorder="1" applyAlignment="1" applyProtection="1">
      <alignment horizontal="right" vertical="center"/>
    </xf>
    <xf numFmtId="164" fontId="0" fillId="0" borderId="17" xfId="0" applyNumberFormat="1" applyBorder="1" applyAlignment="1" applyProtection="1">
      <alignment horizontal="right" vertical="center"/>
    </xf>
    <xf numFmtId="0" fontId="0" fillId="0" borderId="23" xfId="0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left" vertical="center"/>
    </xf>
    <xf numFmtId="164" fontId="0" fillId="0" borderId="12" xfId="0" applyNumberFormat="1" applyBorder="1" applyAlignment="1" applyProtection="1">
      <alignment horizontal="right" vertical="center"/>
    </xf>
    <xf numFmtId="0" fontId="0" fillId="0" borderId="24" xfId="0" applyBorder="1" applyAlignment="1" applyProtection="1">
      <alignment horizontal="left" vertical="center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40" xfId="0" applyFont="1" applyFill="1" applyBorder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vertical="center"/>
    </xf>
    <xf numFmtId="166" fontId="0" fillId="2" borderId="26" xfId="0" applyNumberFormat="1" applyFill="1" applyBorder="1" applyAlignment="1" applyProtection="1">
      <alignment horizontal="right" vertical="center"/>
    </xf>
    <xf numFmtId="164" fontId="0" fillId="2" borderId="20" xfId="0" applyNumberFormat="1" applyFill="1" applyBorder="1" applyAlignment="1" applyProtection="1">
      <alignment horizontal="right" vertical="center"/>
    </xf>
    <xf numFmtId="0" fontId="2" fillId="0" borderId="23" xfId="0" applyFont="1" applyFill="1" applyBorder="1" applyAlignment="1" applyProtection="1">
      <alignment vertical="center"/>
    </xf>
    <xf numFmtId="0" fontId="0" fillId="0" borderId="23" xfId="0" applyFont="1" applyFill="1" applyBorder="1" applyAlignment="1" applyProtection="1">
      <alignment vertical="center" wrapText="1"/>
    </xf>
    <xf numFmtId="0" fontId="0" fillId="0" borderId="23" xfId="0" applyFill="1" applyBorder="1" applyAlignment="1" applyProtection="1">
      <alignment vertical="center" wrapText="1"/>
    </xf>
    <xf numFmtId="0" fontId="2" fillId="0" borderId="30" xfId="0" applyFont="1" applyBorder="1" applyAlignment="1" applyProtection="1">
      <alignment vertical="center"/>
    </xf>
    <xf numFmtId="0" fontId="0" fillId="0" borderId="30" xfId="0" applyBorder="1" applyAlignment="1" applyProtection="1">
      <alignment horizontal="left" vertical="center"/>
    </xf>
    <xf numFmtId="164" fontId="0" fillId="0" borderId="46" xfId="0" applyNumberFormat="1" applyBorder="1" applyAlignment="1" applyProtection="1">
      <alignment horizontal="right" vertical="center"/>
    </xf>
    <xf numFmtId="0" fontId="2" fillId="0" borderId="23" xfId="0" applyFont="1" applyBorder="1" applyAlignment="1" applyProtection="1">
      <alignment vertical="center"/>
    </xf>
    <xf numFmtId="0" fontId="0" fillId="0" borderId="34" xfId="0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horizontal="center"/>
    </xf>
    <xf numFmtId="0" fontId="1" fillId="4" borderId="18" xfId="0" applyFont="1" applyFill="1" applyBorder="1" applyAlignment="1" applyProtection="1">
      <alignment horizontal="center" vertical="center" wrapText="1"/>
    </xf>
    <xf numFmtId="0" fontId="1" fillId="5" borderId="18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0" fillId="0" borderId="25" xfId="0" applyBorder="1" applyAlignment="1" applyProtection="1">
      <alignment vertical="center"/>
    </xf>
    <xf numFmtId="3" fontId="0" fillId="0" borderId="31" xfId="0" applyNumberFormat="1" applyBorder="1" applyAlignment="1" applyProtection="1">
      <alignment horizontal="center" vertical="center"/>
    </xf>
    <xf numFmtId="165" fontId="0" fillId="0" borderId="31" xfId="0" applyNumberFormat="1" applyBorder="1" applyAlignment="1" applyProtection="1">
      <alignment horizontal="right" vertical="center"/>
    </xf>
    <xf numFmtId="3" fontId="0" fillId="0" borderId="35" xfId="0" applyNumberFormat="1" applyBorder="1" applyAlignment="1" applyProtection="1">
      <alignment horizontal="center" vertical="center"/>
    </xf>
    <xf numFmtId="165" fontId="0" fillId="0" borderId="35" xfId="0" applyNumberFormat="1" applyBorder="1" applyAlignment="1" applyProtection="1">
      <alignment horizontal="right" vertical="center"/>
    </xf>
    <xf numFmtId="165" fontId="0" fillId="0" borderId="0" xfId="0" applyNumberFormat="1" applyBorder="1" applyAlignment="1" applyProtection="1">
      <alignment vertical="center"/>
    </xf>
    <xf numFmtId="0" fontId="0" fillId="0" borderId="0" xfId="0" applyBorder="1" applyProtection="1"/>
    <xf numFmtId="0" fontId="0" fillId="0" borderId="26" xfId="0" applyBorder="1" applyAlignment="1" applyProtection="1">
      <alignment vertical="center"/>
    </xf>
    <xf numFmtId="3" fontId="0" fillId="0" borderId="23" xfId="0" applyNumberFormat="1" applyBorder="1" applyAlignment="1" applyProtection="1">
      <alignment horizontal="center" vertical="center"/>
    </xf>
    <xf numFmtId="165" fontId="0" fillId="0" borderId="23" xfId="0" applyNumberFormat="1" applyBorder="1" applyAlignment="1" applyProtection="1">
      <alignment horizontal="right" vertical="center"/>
    </xf>
    <xf numFmtId="3" fontId="0" fillId="0" borderId="20" xfId="0" applyNumberFormat="1" applyBorder="1" applyAlignment="1" applyProtection="1">
      <alignment horizontal="center" vertical="center"/>
    </xf>
    <xf numFmtId="165" fontId="0" fillId="0" borderId="20" xfId="0" applyNumberForma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/>
    </xf>
    <xf numFmtId="165" fontId="0" fillId="0" borderId="0" xfId="0" applyNumberFormat="1" applyBorder="1" applyAlignment="1" applyProtection="1">
      <alignment horizontal="right" vertical="center"/>
    </xf>
    <xf numFmtId="165" fontId="0" fillId="0" borderId="0" xfId="0" applyNumberFormat="1" applyProtection="1"/>
    <xf numFmtId="0" fontId="0" fillId="0" borderId="27" xfId="0" applyBorder="1" applyAlignment="1" applyProtection="1">
      <alignment vertical="center"/>
    </xf>
    <xf numFmtId="3" fontId="0" fillId="0" borderId="24" xfId="0" applyNumberFormat="1" applyBorder="1" applyAlignment="1" applyProtection="1">
      <alignment horizontal="center" vertical="center"/>
    </xf>
    <xf numFmtId="165" fontId="0" fillId="0" borderId="24" xfId="0" applyNumberFormat="1" applyBorder="1" applyAlignment="1" applyProtection="1">
      <alignment horizontal="right" vertical="center"/>
    </xf>
    <xf numFmtId="3" fontId="0" fillId="0" borderId="21" xfId="0" applyNumberFormat="1" applyBorder="1" applyAlignment="1" applyProtection="1">
      <alignment horizontal="center" vertical="center"/>
    </xf>
    <xf numFmtId="165" fontId="0" fillId="0" borderId="21" xfId="0" applyNumberFormat="1" applyBorder="1" applyAlignment="1" applyProtection="1">
      <alignment horizontal="right" vertical="center"/>
    </xf>
    <xf numFmtId="0" fontId="1" fillId="6" borderId="3" xfId="0" applyFont="1" applyFill="1" applyBorder="1" applyAlignment="1" applyProtection="1">
      <alignment horizontal="right" vertical="center"/>
    </xf>
    <xf numFmtId="3" fontId="1" fillId="3" borderId="5" xfId="0" applyNumberFormat="1" applyFont="1" applyFill="1" applyBorder="1" applyAlignment="1" applyProtection="1">
      <alignment horizontal="center" vertical="center"/>
    </xf>
    <xf numFmtId="165" fontId="1" fillId="3" borderId="3" xfId="0" applyNumberFormat="1" applyFont="1" applyFill="1" applyBorder="1" applyAlignment="1" applyProtection="1">
      <alignment horizontal="right" vertical="center"/>
    </xf>
    <xf numFmtId="3" fontId="1" fillId="4" borderId="3" xfId="0" applyNumberFormat="1" applyFont="1" applyFill="1" applyBorder="1" applyAlignment="1" applyProtection="1">
      <alignment horizontal="center" vertical="center"/>
    </xf>
    <xf numFmtId="165" fontId="1" fillId="4" borderId="3" xfId="0" applyNumberFormat="1" applyFont="1" applyFill="1" applyBorder="1" applyAlignment="1" applyProtection="1">
      <alignment horizontal="right" vertical="center"/>
    </xf>
    <xf numFmtId="3" fontId="1" fillId="5" borderId="3" xfId="0" applyNumberFormat="1" applyFont="1" applyFill="1" applyBorder="1" applyAlignment="1" applyProtection="1">
      <alignment horizontal="center" vertical="center"/>
    </xf>
    <xf numFmtId="165" fontId="1" fillId="5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Protection="1"/>
    <xf numFmtId="0" fontId="4" fillId="3" borderId="49" xfId="0" applyFont="1" applyFill="1" applyBorder="1" applyAlignment="1" applyProtection="1">
      <alignment horizontal="right" vertical="center"/>
    </xf>
    <xf numFmtId="0" fontId="14" fillId="0" borderId="20" xfId="0" applyFont="1" applyBorder="1" applyAlignment="1" applyProtection="1">
      <alignment vertical="center"/>
      <protection locked="0"/>
    </xf>
    <xf numFmtId="0" fontId="14" fillId="0" borderId="21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1" fillId="5" borderId="3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3" borderId="15" xfId="0" applyFont="1" applyFill="1" applyBorder="1" applyAlignment="1" applyProtection="1">
      <alignment horizontal="center" vertical="center" wrapText="1"/>
    </xf>
    <xf numFmtId="0" fontId="1" fillId="4" borderId="13" xfId="0" applyFon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center" vertical="center" wrapText="1"/>
    </xf>
    <xf numFmtId="0" fontId="13" fillId="7" borderId="0" xfId="0" applyFont="1" applyFill="1" applyAlignment="1" applyProtection="1">
      <alignment horizontal="center" vertical="center" wrapText="1"/>
      <protection locked="0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5" borderId="6" xfId="0" applyFont="1" applyFill="1" applyBorder="1" applyAlignment="1" applyProtection="1">
      <alignment horizontal="center" vertical="center" wrapText="1"/>
    </xf>
    <xf numFmtId="0" fontId="1" fillId="3" borderId="25" xfId="0" applyFont="1" applyFill="1" applyBorder="1" applyAlignment="1" applyProtection="1">
      <alignment horizontal="center" vertical="center" wrapText="1"/>
    </xf>
    <xf numFmtId="0" fontId="1" fillId="3" borderId="45" xfId="0" applyFont="1" applyFill="1" applyBorder="1" applyAlignment="1" applyProtection="1">
      <alignment horizontal="center" vertical="center" wrapText="1"/>
    </xf>
    <xf numFmtId="0" fontId="1" fillId="3" borderId="10" xfId="0" applyFont="1" applyFill="1" applyBorder="1" applyAlignment="1" applyProtection="1">
      <alignment horizontal="center" vertical="center" wrapText="1"/>
    </xf>
    <xf numFmtId="0" fontId="1" fillId="4" borderId="41" xfId="0" applyFont="1" applyFill="1" applyBorder="1" applyAlignment="1" applyProtection="1">
      <alignment horizontal="center" vertical="center" wrapText="1"/>
    </xf>
    <xf numFmtId="0" fontId="1" fillId="4" borderId="14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/>
    </xf>
    <xf numFmtId="0" fontId="12" fillId="7" borderId="0" xfId="0" applyFont="1" applyFill="1" applyAlignment="1" applyProtection="1">
      <alignment horizontal="center"/>
      <protection locked="0"/>
    </xf>
    <xf numFmtId="0" fontId="1" fillId="3" borderId="14" xfId="0" applyFont="1" applyFill="1" applyBorder="1" applyAlignment="1" applyProtection="1">
      <alignment horizontal="center" vertical="center" wrapText="1"/>
    </xf>
    <xf numFmtId="0" fontId="1" fillId="5" borderId="32" xfId="0" applyFont="1" applyFill="1" applyBorder="1" applyAlignment="1" applyProtection="1">
      <alignment horizontal="center" vertical="center" wrapText="1"/>
    </xf>
    <xf numFmtId="0" fontId="1" fillId="5" borderId="33" xfId="0" applyFont="1" applyFill="1" applyBorder="1" applyAlignment="1" applyProtection="1">
      <alignment horizontal="center" vertic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45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5" borderId="22" xfId="0" applyFont="1" applyFill="1" applyBorder="1" applyAlignment="1" applyProtection="1">
      <alignment horizontal="center" vertical="center" wrapText="1"/>
    </xf>
    <xf numFmtId="0" fontId="1" fillId="5" borderId="24" xfId="0" applyFont="1" applyFill="1" applyBorder="1" applyAlignment="1" applyProtection="1">
      <alignment horizontal="center" vertical="center" wrapText="1"/>
    </xf>
    <xf numFmtId="3" fontId="0" fillId="0" borderId="1" xfId="0" applyNumberFormat="1" applyBorder="1" applyAlignment="1" applyProtection="1">
      <alignment horizontal="right" vertical="center"/>
    </xf>
    <xf numFmtId="0" fontId="9" fillId="0" borderId="20" xfId="0" applyFont="1" applyFill="1" applyBorder="1" applyAlignment="1" applyProtection="1">
      <alignment vertical="center"/>
    </xf>
    <xf numFmtId="0" fontId="9" fillId="0" borderId="20" xfId="0" applyFont="1" applyFill="1" applyBorder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99FF66"/>
      <color rgb="FF009EE3"/>
      <color rgb="FF9FCFFF"/>
      <color rgb="FF0066FF"/>
      <color rgb="FF000000"/>
      <color rgb="FF9BE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68580</xdr:rowOff>
    </xdr:from>
    <xdr:to>
      <xdr:col>0</xdr:col>
      <xdr:colOff>1226820</xdr:colOff>
      <xdr:row>0</xdr:row>
      <xdr:rowOff>843280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68580"/>
          <a:ext cx="1143000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1143000</xdr:colOff>
      <xdr:row>1</xdr:row>
      <xdr:rowOff>114300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0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1143000</xdr:colOff>
      <xdr:row>1</xdr:row>
      <xdr:rowOff>114300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0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12700</xdr:rowOff>
    </xdr:from>
    <xdr:to>
      <xdr:col>0</xdr:col>
      <xdr:colOff>1143000</xdr:colOff>
      <xdr:row>1</xdr:row>
      <xdr:rowOff>127000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700"/>
          <a:ext cx="1143000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12700</xdr:rowOff>
    </xdr:from>
    <xdr:to>
      <xdr:col>0</xdr:col>
      <xdr:colOff>1143000</xdr:colOff>
      <xdr:row>1</xdr:row>
      <xdr:rowOff>127000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2700"/>
          <a:ext cx="1143000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0</xdr:col>
      <xdr:colOff>1143000</xdr:colOff>
      <xdr:row>1</xdr:row>
      <xdr:rowOff>152400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"/>
          <a:ext cx="1143000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0</xdr:col>
      <xdr:colOff>1143000</xdr:colOff>
      <xdr:row>1</xdr:row>
      <xdr:rowOff>152400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38100"/>
          <a:ext cx="1143000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1143000</xdr:colOff>
      <xdr:row>1</xdr:row>
      <xdr:rowOff>114300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43000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ali">
      <a:dk1>
        <a:sysClr val="windowText" lastClr="000000"/>
      </a:dk1>
      <a:lt1>
        <a:sysClr val="window" lastClr="FFFFFF"/>
      </a:lt1>
      <a:dk2>
        <a:srgbClr val="595959"/>
      </a:dk2>
      <a:lt2>
        <a:srgbClr val="E7E6E6"/>
      </a:lt2>
      <a:accent1>
        <a:srgbClr val="009EE3"/>
      </a:accent1>
      <a:accent2>
        <a:srgbClr val="E5007D"/>
      </a:accent2>
      <a:accent3>
        <a:srgbClr val="B4BDB4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">
      <a:majorFont>
        <a:latin typeface="Liberation Sans"/>
        <a:ea typeface=""/>
        <a:cs typeface=""/>
      </a:majorFont>
      <a:minorFont>
        <a:latin typeface="Liberation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workbookViewId="0">
      <selection activeCell="A3" sqref="A3:G3"/>
    </sheetView>
  </sheetViews>
  <sheetFormatPr baseColWidth="10" defaultColWidth="11.19921875" defaultRowHeight="13.8"/>
  <cols>
    <col min="1" max="1" width="38.69921875" style="22" customWidth="1"/>
    <col min="2" max="2" width="19.5" style="22" customWidth="1"/>
    <col min="3" max="3" width="17.09765625" style="22" customWidth="1"/>
    <col min="4" max="4" width="19.5" style="22" customWidth="1"/>
    <col min="5" max="5" width="17.09765625" style="22" customWidth="1"/>
    <col min="6" max="6" width="19.5" style="22" customWidth="1"/>
    <col min="7" max="7" width="17.09765625" style="22" customWidth="1"/>
    <col min="8" max="8" width="3.3984375" style="22" customWidth="1"/>
    <col min="9" max="16384" width="11.19921875" style="22"/>
  </cols>
  <sheetData>
    <row r="1" spans="1:13" ht="79.95" customHeight="1">
      <c r="A1" s="131" t="s">
        <v>91</v>
      </c>
      <c r="B1" s="132"/>
      <c r="C1" s="132"/>
      <c r="D1" s="132"/>
      <c r="E1" s="132"/>
      <c r="F1" s="132"/>
      <c r="G1" s="132"/>
    </row>
    <row r="2" spans="1:13" ht="17.399999999999999">
      <c r="A2" s="126"/>
      <c r="B2" s="127"/>
      <c r="C2" s="127"/>
      <c r="D2" s="127"/>
      <c r="E2" s="127"/>
      <c r="F2" s="127"/>
      <c r="G2" s="127"/>
    </row>
    <row r="3" spans="1:13" ht="17.399999999999999">
      <c r="A3" s="137" t="s">
        <v>81</v>
      </c>
      <c r="B3" s="137"/>
      <c r="C3" s="137"/>
      <c r="D3" s="137"/>
      <c r="E3" s="137"/>
      <c r="F3" s="137"/>
      <c r="G3" s="137"/>
    </row>
    <row r="4" spans="1:13" ht="18" thickBot="1">
      <c r="A4" s="126"/>
      <c r="B4" s="127"/>
      <c r="C4" s="127"/>
      <c r="D4" s="127"/>
      <c r="E4" s="127"/>
      <c r="F4" s="127"/>
      <c r="G4" s="127"/>
    </row>
    <row r="5" spans="1:13" ht="41.4" customHeight="1">
      <c r="B5" s="133" t="s">
        <v>54</v>
      </c>
      <c r="C5" s="134"/>
      <c r="D5" s="135" t="s">
        <v>55</v>
      </c>
      <c r="E5" s="136"/>
      <c r="F5" s="129" t="s">
        <v>58</v>
      </c>
      <c r="G5" s="130"/>
    </row>
    <row r="6" spans="1:13" ht="42" thickBot="1">
      <c r="B6" s="25" t="s">
        <v>86</v>
      </c>
      <c r="C6" s="27" t="s">
        <v>57</v>
      </c>
      <c r="D6" s="91" t="s">
        <v>86</v>
      </c>
      <c r="E6" s="30" t="s">
        <v>57</v>
      </c>
      <c r="F6" s="92" t="s">
        <v>86</v>
      </c>
      <c r="G6" s="93" t="s">
        <v>57</v>
      </c>
      <c r="I6" s="94"/>
      <c r="J6" s="48"/>
      <c r="K6" s="48"/>
      <c r="L6" s="48"/>
    </row>
    <row r="7" spans="1:13" ht="27.75" customHeight="1">
      <c r="A7" s="95" t="s">
        <v>42</v>
      </c>
      <c r="B7" s="96">
        <f>CACES!C31</f>
        <v>0</v>
      </c>
      <c r="C7" s="97">
        <f>CACES!D31</f>
        <v>0</v>
      </c>
      <c r="D7" s="98">
        <f>CACES!F31</f>
        <v>0</v>
      </c>
      <c r="E7" s="99">
        <f>CACES!G31</f>
        <v>0</v>
      </c>
      <c r="F7" s="98">
        <f>CACES!B34</f>
        <v>0</v>
      </c>
      <c r="G7" s="99">
        <f>CACES!B35</f>
        <v>0</v>
      </c>
      <c r="I7" s="100"/>
      <c r="J7" s="101"/>
      <c r="K7" s="101"/>
      <c r="L7" s="101"/>
    </row>
    <row r="8" spans="1:13" ht="27.75" customHeight="1">
      <c r="A8" s="102" t="s">
        <v>43</v>
      </c>
      <c r="B8" s="103">
        <f>'Risques électriques'!C55</f>
        <v>0</v>
      </c>
      <c r="C8" s="104">
        <f>'Risques électriques'!D55</f>
        <v>0</v>
      </c>
      <c r="D8" s="105">
        <f>'Risques électriques'!F55</f>
        <v>0</v>
      </c>
      <c r="E8" s="106">
        <f>'Risques électriques'!G55</f>
        <v>0</v>
      </c>
      <c r="F8" s="98">
        <f>'Risques électriques'!B59</f>
        <v>0</v>
      </c>
      <c r="G8" s="99">
        <f>'Risques électriques'!B60</f>
        <v>0</v>
      </c>
      <c r="I8" s="100"/>
      <c r="J8" s="107"/>
      <c r="K8" s="107"/>
      <c r="L8" s="107"/>
    </row>
    <row r="9" spans="1:13" ht="27.75" customHeight="1">
      <c r="A9" s="102" t="s">
        <v>84</v>
      </c>
      <c r="B9" s="103">
        <f>'Risques à la personne_SST'!C11</f>
        <v>0</v>
      </c>
      <c r="C9" s="104">
        <f>'Risques à la personne_SST'!D11</f>
        <v>0</v>
      </c>
      <c r="D9" s="105">
        <f>'Risques à la personne_SST'!F11</f>
        <v>0</v>
      </c>
      <c r="E9" s="106">
        <f>'Risques à la personne_SST'!G11</f>
        <v>0</v>
      </c>
      <c r="F9" s="98">
        <f>'Risques à la personne_SST'!B15</f>
        <v>0</v>
      </c>
      <c r="G9" s="99">
        <f>'Risques à la personne_SST'!B16</f>
        <v>0</v>
      </c>
      <c r="I9" s="100"/>
      <c r="J9" s="108"/>
      <c r="K9" s="108"/>
      <c r="L9" s="108"/>
      <c r="M9" s="109"/>
    </row>
    <row r="10" spans="1:13" ht="27.75" customHeight="1">
      <c r="A10" s="102" t="s">
        <v>83</v>
      </c>
      <c r="B10" s="103">
        <f>'Risques à la personne_PSC1'!C10</f>
        <v>0</v>
      </c>
      <c r="C10" s="104">
        <f>'Risques à la personne_PSC1'!D10</f>
        <v>0</v>
      </c>
      <c r="D10" s="105">
        <f>'Risques à la personne_PSC1'!F10</f>
        <v>0</v>
      </c>
      <c r="E10" s="106">
        <f>'Risques à la personne_PSC1'!G10</f>
        <v>0</v>
      </c>
      <c r="F10" s="98">
        <f>'Risques à la personne_PSC1'!B14</f>
        <v>0</v>
      </c>
      <c r="G10" s="99">
        <f>'Risques à la personne_PSC1'!B15</f>
        <v>0</v>
      </c>
      <c r="I10" s="100"/>
      <c r="J10" s="108"/>
      <c r="K10" s="108"/>
      <c r="L10" s="108"/>
      <c r="M10" s="109"/>
    </row>
    <row r="11" spans="1:13" ht="27.75" customHeight="1">
      <c r="A11" s="102" t="s">
        <v>85</v>
      </c>
      <c r="B11" s="103">
        <f>'Risques à la personne_PRAP'!C13</f>
        <v>0</v>
      </c>
      <c r="C11" s="104">
        <f>'Risques à la personne_PRAP'!D13</f>
        <v>0</v>
      </c>
      <c r="D11" s="105">
        <f>'Risques à la personne_PRAP'!F13</f>
        <v>0</v>
      </c>
      <c r="E11" s="106">
        <f>'Risques à la personne_PRAP'!G13</f>
        <v>0</v>
      </c>
      <c r="F11" s="98">
        <f>'Risques à la personne_PRAP'!B17</f>
        <v>0</v>
      </c>
      <c r="G11" s="99">
        <f>'Risques à la personne_PRAP'!B18</f>
        <v>0</v>
      </c>
      <c r="I11" s="100"/>
      <c r="J11" s="108"/>
      <c r="K11" s="108"/>
      <c r="L11" s="108"/>
      <c r="M11" s="109"/>
    </row>
    <row r="12" spans="1:13" ht="27.75" customHeight="1">
      <c r="A12" s="102" t="s">
        <v>44</v>
      </c>
      <c r="B12" s="103">
        <f>'Risques incendie'!C13</f>
        <v>0</v>
      </c>
      <c r="C12" s="104">
        <f>'Risques incendie'!D13</f>
        <v>0</v>
      </c>
      <c r="D12" s="105">
        <f>'Risques incendie'!F13</f>
        <v>0</v>
      </c>
      <c r="E12" s="106">
        <f>'Risques incendie'!G13</f>
        <v>0</v>
      </c>
      <c r="F12" s="98">
        <f>'Risques incendie'!B17</f>
        <v>0</v>
      </c>
      <c r="G12" s="99">
        <f>'Risques incendie'!B18</f>
        <v>0</v>
      </c>
      <c r="I12" s="100"/>
      <c r="J12" s="101"/>
      <c r="K12" s="101"/>
      <c r="L12" s="101"/>
    </row>
    <row r="13" spans="1:13" ht="27.75" customHeight="1" thickBot="1">
      <c r="A13" s="110" t="s">
        <v>45</v>
      </c>
      <c r="B13" s="111">
        <f>'Code&amp;Permis'!C21</f>
        <v>0</v>
      </c>
      <c r="C13" s="112">
        <f>'Code&amp;Permis'!D21</f>
        <v>0</v>
      </c>
      <c r="D13" s="113">
        <f>'Code&amp;Permis'!F21</f>
        <v>0</v>
      </c>
      <c r="E13" s="114">
        <f>'Code&amp;Permis'!G21</f>
        <v>0</v>
      </c>
      <c r="F13" s="98">
        <f>'Code&amp;Permis'!B25</f>
        <v>0</v>
      </c>
      <c r="G13" s="99">
        <f>'Code&amp;Permis'!B26</f>
        <v>0</v>
      </c>
      <c r="I13" s="100"/>
      <c r="J13" s="101"/>
      <c r="K13" s="101"/>
      <c r="L13" s="101"/>
    </row>
    <row r="14" spans="1:13" ht="27.75" customHeight="1" thickBot="1">
      <c r="A14" s="115" t="s">
        <v>46</v>
      </c>
      <c r="B14" s="116">
        <f t="shared" ref="B14:G14" si="0">SUM(B7:B13)</f>
        <v>0</v>
      </c>
      <c r="C14" s="117">
        <f t="shared" si="0"/>
        <v>0</v>
      </c>
      <c r="D14" s="118">
        <f t="shared" si="0"/>
        <v>0</v>
      </c>
      <c r="E14" s="119">
        <f t="shared" si="0"/>
        <v>0</v>
      </c>
      <c r="F14" s="120">
        <f t="shared" si="0"/>
        <v>0</v>
      </c>
      <c r="G14" s="121">
        <f t="shared" si="0"/>
        <v>0</v>
      </c>
      <c r="I14" s="100"/>
      <c r="J14" s="101"/>
      <c r="K14" s="101"/>
      <c r="L14" s="101"/>
    </row>
    <row r="15" spans="1:13">
      <c r="E15" s="109"/>
      <c r="H15" s="109"/>
      <c r="I15" s="109"/>
    </row>
    <row r="17" spans="1:1">
      <c r="A17" s="122"/>
    </row>
  </sheetData>
  <sheetProtection algorithmName="SHA-512" hashValue="AGvRcRmOTQhRxqeHkAkfOe5fxaJk+LIRD1E/0Edvr/dolQXn3qm/s0fPcus/GID8VrlIzr8Tn/ILGRQ7sOCf6A==" saltValue="A8kjmd9l2AkrbGp3PbYcSg==" spinCount="100000" sheet="1" objects="1" scenarios="1"/>
  <mergeCells count="5">
    <mergeCell ref="F5:G5"/>
    <mergeCell ref="A1:G1"/>
    <mergeCell ref="B5:C5"/>
    <mergeCell ref="D5:E5"/>
    <mergeCell ref="A3:G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showGridLines="0" view="pageBreakPreview" zoomScale="60" zoomScaleNormal="75" workbookViewId="0">
      <selection activeCell="E32" sqref="E32"/>
    </sheetView>
  </sheetViews>
  <sheetFormatPr baseColWidth="10" defaultColWidth="9" defaultRowHeight="13.8"/>
  <cols>
    <col min="1" max="1" width="66.69921875" style="22" customWidth="1"/>
    <col min="2" max="2" width="20.3984375" style="22" customWidth="1"/>
    <col min="3" max="4" width="20.3984375" style="23" customWidth="1"/>
    <col min="5" max="7" width="19.19921875" style="22" customWidth="1"/>
    <col min="8" max="8" width="67.19921875" style="22" customWidth="1"/>
    <col min="9" max="16384" width="9" style="22"/>
  </cols>
  <sheetData>
    <row r="1" spans="1:9" ht="52.2" customHeight="1">
      <c r="A1" s="145" t="s">
        <v>92</v>
      </c>
      <c r="B1" s="146"/>
      <c r="C1" s="146"/>
      <c r="D1" s="146"/>
      <c r="E1" s="146"/>
      <c r="F1" s="146"/>
      <c r="G1" s="146"/>
      <c r="H1" s="146"/>
    </row>
    <row r="3" spans="1:9" ht="19.2" customHeight="1">
      <c r="A3" s="147" t="str">
        <f>'Estimatif budgétaire'!A3:G3</f>
        <v>[Préciser ici le nom de votre collectivité]</v>
      </c>
      <c r="B3" s="147"/>
      <c r="C3" s="147"/>
      <c r="D3" s="147"/>
      <c r="E3" s="147"/>
      <c r="F3" s="147"/>
      <c r="G3" s="147"/>
      <c r="H3" s="147"/>
      <c r="I3" s="147"/>
    </row>
    <row r="4" spans="1:9" s="54" customFormat="1" ht="19.2" customHeight="1" thickBot="1">
      <c r="A4" s="53"/>
      <c r="B4" s="53"/>
      <c r="C4" s="53"/>
      <c r="D4" s="53"/>
      <c r="E4" s="53"/>
      <c r="F4" s="53"/>
      <c r="G4" s="53"/>
      <c r="H4" s="53"/>
      <c r="I4" s="53"/>
    </row>
    <row r="5" spans="1:9" ht="14.4" thickBot="1">
      <c r="B5" s="140" t="s">
        <v>51</v>
      </c>
      <c r="C5" s="141"/>
      <c r="D5" s="142"/>
      <c r="E5" s="143" t="s">
        <v>50</v>
      </c>
      <c r="F5" s="144"/>
      <c r="G5" s="136"/>
    </row>
    <row r="6" spans="1:9" s="24" customFormat="1" ht="72" customHeight="1" thickBot="1">
      <c r="A6" s="76" t="s">
        <v>0</v>
      </c>
      <c r="B6" s="25" t="s">
        <v>52</v>
      </c>
      <c r="C6" s="26" t="s">
        <v>74</v>
      </c>
      <c r="D6" s="27" t="s">
        <v>56</v>
      </c>
      <c r="E6" s="28" t="s">
        <v>53</v>
      </c>
      <c r="F6" s="29" t="s">
        <v>75</v>
      </c>
      <c r="G6" s="30" t="s">
        <v>57</v>
      </c>
      <c r="H6" s="77" t="s">
        <v>1</v>
      </c>
    </row>
    <row r="7" spans="1:9" ht="30" customHeight="1">
      <c r="A7" s="78" t="s">
        <v>18</v>
      </c>
      <c r="B7" s="79"/>
      <c r="C7" s="18"/>
      <c r="D7" s="80"/>
      <c r="E7" s="31">
        <f>680*1.15</f>
        <v>781.99999999999989</v>
      </c>
      <c r="F7" s="6"/>
      <c r="G7" s="32">
        <f>E7*F7</f>
        <v>0</v>
      </c>
      <c r="H7" s="57"/>
    </row>
    <row r="8" spans="1:9" ht="30" customHeight="1">
      <c r="A8" s="81" t="s">
        <v>19</v>
      </c>
      <c r="B8" s="79"/>
      <c r="C8" s="18"/>
      <c r="D8" s="80"/>
      <c r="E8" s="35">
        <f>530*1.15</f>
        <v>609.5</v>
      </c>
      <c r="F8" s="2"/>
      <c r="G8" s="71">
        <f t="shared" ref="G8:G28" si="0">E8*F8</f>
        <v>0</v>
      </c>
      <c r="H8" s="60"/>
    </row>
    <row r="9" spans="1:9" ht="30" customHeight="1">
      <c r="A9" s="81" t="s">
        <v>34</v>
      </c>
      <c r="B9" s="79"/>
      <c r="C9" s="18"/>
      <c r="D9" s="80"/>
      <c r="E9" s="35">
        <f>730*1.15</f>
        <v>839.49999999999989</v>
      </c>
      <c r="F9" s="2"/>
      <c r="G9" s="71">
        <f t="shared" si="0"/>
        <v>0</v>
      </c>
      <c r="H9" s="60"/>
    </row>
    <row r="10" spans="1:9" ht="30" customHeight="1">
      <c r="A10" s="81" t="s">
        <v>20</v>
      </c>
      <c r="B10" s="79"/>
      <c r="C10" s="18"/>
      <c r="D10" s="80"/>
      <c r="E10" s="35">
        <f>580*1.15</f>
        <v>667</v>
      </c>
      <c r="F10" s="2"/>
      <c r="G10" s="71">
        <f t="shared" si="0"/>
        <v>0</v>
      </c>
      <c r="H10" s="60"/>
    </row>
    <row r="11" spans="1:9" ht="45" customHeight="1">
      <c r="A11" s="82" t="s">
        <v>67</v>
      </c>
      <c r="B11" s="58">
        <f>140*1.15</f>
        <v>161</v>
      </c>
      <c r="C11" s="8"/>
      <c r="D11" s="59">
        <f t="shared" ref="D11:D12" si="1">B11*C11</f>
        <v>0</v>
      </c>
      <c r="E11" s="79"/>
      <c r="F11" s="18"/>
      <c r="G11" s="80"/>
      <c r="H11" s="72"/>
    </row>
    <row r="12" spans="1:9" ht="45" customHeight="1">
      <c r="A12" s="83" t="s">
        <v>64</v>
      </c>
      <c r="B12" s="58">
        <f>140*1.15</f>
        <v>161</v>
      </c>
      <c r="C12" s="8"/>
      <c r="D12" s="59">
        <f t="shared" si="1"/>
        <v>0</v>
      </c>
      <c r="E12" s="79"/>
      <c r="F12" s="18"/>
      <c r="G12" s="80"/>
      <c r="H12" s="72"/>
    </row>
    <row r="13" spans="1:9" ht="30" customHeight="1">
      <c r="A13" s="81" t="s">
        <v>21</v>
      </c>
      <c r="B13" s="79"/>
      <c r="C13" s="18"/>
      <c r="D13" s="80"/>
      <c r="E13" s="35">
        <f>810*1.15</f>
        <v>931.49999999999989</v>
      </c>
      <c r="F13" s="6"/>
      <c r="G13" s="36">
        <f t="shared" si="0"/>
        <v>0</v>
      </c>
      <c r="H13" s="65"/>
    </row>
    <row r="14" spans="1:9" ht="30" customHeight="1">
      <c r="A14" s="81" t="s">
        <v>22</v>
      </c>
      <c r="B14" s="79"/>
      <c r="C14" s="18"/>
      <c r="D14" s="80"/>
      <c r="E14" s="35">
        <f>600*1.15</f>
        <v>690</v>
      </c>
      <c r="F14" s="2"/>
      <c r="G14" s="71">
        <f t="shared" si="0"/>
        <v>0</v>
      </c>
      <c r="H14" s="60"/>
    </row>
    <row r="15" spans="1:9" ht="30" customHeight="1">
      <c r="A15" s="81" t="s">
        <v>23</v>
      </c>
      <c r="B15" s="79"/>
      <c r="C15" s="18"/>
      <c r="D15" s="80"/>
      <c r="E15" s="35">
        <f>770*1.15</f>
        <v>885.49999999999989</v>
      </c>
      <c r="F15" s="2"/>
      <c r="G15" s="71">
        <f t="shared" si="0"/>
        <v>0</v>
      </c>
      <c r="H15" s="60"/>
    </row>
    <row r="16" spans="1:9" ht="30" customHeight="1">
      <c r="A16" s="81" t="s">
        <v>24</v>
      </c>
      <c r="B16" s="79"/>
      <c r="C16" s="18"/>
      <c r="D16" s="80"/>
      <c r="E16" s="35">
        <f>580*1.15</f>
        <v>667</v>
      </c>
      <c r="F16" s="2"/>
      <c r="G16" s="71">
        <f t="shared" si="0"/>
        <v>0</v>
      </c>
      <c r="H16" s="60"/>
    </row>
    <row r="17" spans="1:8" ht="30" customHeight="1">
      <c r="A17" s="81" t="s">
        <v>25</v>
      </c>
      <c r="B17" s="79"/>
      <c r="C17" s="18"/>
      <c r="D17" s="80"/>
      <c r="E17" s="35">
        <f>940*1.15</f>
        <v>1081</v>
      </c>
      <c r="F17" s="2"/>
      <c r="G17" s="71">
        <f t="shared" si="0"/>
        <v>0</v>
      </c>
      <c r="H17" s="60"/>
    </row>
    <row r="18" spans="1:8" ht="30" customHeight="1">
      <c r="A18" s="81" t="s">
        <v>26</v>
      </c>
      <c r="B18" s="79"/>
      <c r="C18" s="18"/>
      <c r="D18" s="80"/>
      <c r="E18" s="35">
        <f>680*1.15</f>
        <v>781.99999999999989</v>
      </c>
      <c r="F18" s="2"/>
      <c r="G18" s="71">
        <f t="shared" si="0"/>
        <v>0</v>
      </c>
      <c r="H18" s="60"/>
    </row>
    <row r="19" spans="1:8" ht="30" customHeight="1">
      <c r="A19" s="81" t="s">
        <v>27</v>
      </c>
      <c r="B19" s="79"/>
      <c r="C19" s="18"/>
      <c r="D19" s="80"/>
      <c r="E19" s="35">
        <f>770*1.15</f>
        <v>885.49999999999989</v>
      </c>
      <c r="F19" s="2"/>
      <c r="G19" s="71">
        <f t="shared" si="0"/>
        <v>0</v>
      </c>
      <c r="H19" s="60"/>
    </row>
    <row r="20" spans="1:8" ht="30" customHeight="1">
      <c r="A20" s="81" t="s">
        <v>28</v>
      </c>
      <c r="B20" s="79"/>
      <c r="C20" s="18"/>
      <c r="D20" s="80"/>
      <c r="E20" s="35">
        <f>580*1.15</f>
        <v>667</v>
      </c>
      <c r="F20" s="2"/>
      <c r="G20" s="71">
        <f t="shared" si="0"/>
        <v>0</v>
      </c>
      <c r="H20" s="60"/>
    </row>
    <row r="21" spans="1:8" ht="30" customHeight="1">
      <c r="A21" s="81" t="s">
        <v>29</v>
      </c>
      <c r="B21" s="79"/>
      <c r="C21" s="18"/>
      <c r="D21" s="80"/>
      <c r="E21" s="35">
        <f>770*1.15</f>
        <v>885.49999999999989</v>
      </c>
      <c r="F21" s="2"/>
      <c r="G21" s="71">
        <f t="shared" si="0"/>
        <v>0</v>
      </c>
      <c r="H21" s="60"/>
    </row>
    <row r="22" spans="1:8" ht="30" customHeight="1">
      <c r="A22" s="84" t="s">
        <v>77</v>
      </c>
      <c r="B22" s="79"/>
      <c r="C22" s="18"/>
      <c r="D22" s="80"/>
      <c r="E22" s="35">
        <f>700*1.15</f>
        <v>804.99999999999989</v>
      </c>
      <c r="F22" s="4"/>
      <c r="G22" s="71">
        <f t="shared" ref="G22:G23" si="2">E22*F22</f>
        <v>0</v>
      </c>
      <c r="H22" s="85"/>
    </row>
    <row r="23" spans="1:8" ht="30" customHeight="1">
      <c r="A23" s="84" t="s">
        <v>78</v>
      </c>
      <c r="B23" s="79"/>
      <c r="C23" s="18"/>
      <c r="D23" s="80"/>
      <c r="E23" s="35">
        <f>550*1.15</f>
        <v>632.5</v>
      </c>
      <c r="F23" s="4"/>
      <c r="G23" s="86">
        <f t="shared" si="2"/>
        <v>0</v>
      </c>
      <c r="H23" s="85"/>
    </row>
    <row r="24" spans="1:8" ht="30" customHeight="1">
      <c r="A24" s="81" t="s">
        <v>30</v>
      </c>
      <c r="B24" s="79"/>
      <c r="C24" s="18"/>
      <c r="D24" s="80"/>
      <c r="E24" s="35">
        <f>580*1.15</f>
        <v>667</v>
      </c>
      <c r="F24" s="2"/>
      <c r="G24" s="71">
        <f t="shared" si="0"/>
        <v>0</v>
      </c>
      <c r="H24" s="72"/>
    </row>
    <row r="25" spans="1:8" ht="30" customHeight="1">
      <c r="A25" s="81" t="s">
        <v>31</v>
      </c>
      <c r="B25" s="79"/>
      <c r="C25" s="18"/>
      <c r="D25" s="80"/>
      <c r="E25" s="35">
        <f>440*1.15</f>
        <v>505.99999999999994</v>
      </c>
      <c r="F25" s="2"/>
      <c r="G25" s="71">
        <f t="shared" si="0"/>
        <v>0</v>
      </c>
      <c r="H25" s="73"/>
    </row>
    <row r="26" spans="1:8" ht="30" customHeight="1">
      <c r="A26" s="87" t="s">
        <v>32</v>
      </c>
      <c r="B26" s="79"/>
      <c r="C26" s="18"/>
      <c r="D26" s="80"/>
      <c r="E26" s="35">
        <f>800*1.15</f>
        <v>919.99999999999989</v>
      </c>
      <c r="F26" s="2"/>
      <c r="G26" s="71">
        <f t="shared" si="0"/>
        <v>0</v>
      </c>
      <c r="H26" s="72"/>
    </row>
    <row r="27" spans="1:8" ht="30" customHeight="1">
      <c r="A27" s="81" t="s">
        <v>33</v>
      </c>
      <c r="B27" s="79"/>
      <c r="C27" s="18"/>
      <c r="D27" s="80"/>
      <c r="E27" s="35">
        <f>650*1.15</f>
        <v>747.49999999999989</v>
      </c>
      <c r="F27" s="2"/>
      <c r="G27" s="71">
        <f t="shared" si="0"/>
        <v>0</v>
      </c>
      <c r="H27" s="72"/>
    </row>
    <row r="28" spans="1:8" ht="30" customHeight="1">
      <c r="A28" s="84" t="s">
        <v>76</v>
      </c>
      <c r="B28" s="79"/>
      <c r="C28" s="18"/>
      <c r="D28" s="80"/>
      <c r="E28" s="35">
        <f>380*1.15</f>
        <v>436.99999999999994</v>
      </c>
      <c r="F28" s="2"/>
      <c r="G28" s="71">
        <f t="shared" si="0"/>
        <v>0</v>
      </c>
      <c r="H28" s="73"/>
    </row>
    <row r="29" spans="1:8" ht="30" customHeight="1">
      <c r="A29" s="1" t="s">
        <v>147</v>
      </c>
      <c r="B29" s="79"/>
      <c r="C29" s="18"/>
      <c r="D29" s="80"/>
      <c r="E29" s="3"/>
      <c r="F29" s="4"/>
      <c r="G29" s="71">
        <f>E29*F29</f>
        <v>0</v>
      </c>
      <c r="H29" s="85"/>
    </row>
    <row r="30" spans="1:8" ht="30" customHeight="1" thickBot="1">
      <c r="A30" s="1" t="s">
        <v>68</v>
      </c>
      <c r="B30" s="79"/>
      <c r="C30" s="18"/>
      <c r="D30" s="80"/>
      <c r="E30" s="3"/>
      <c r="F30" s="5"/>
      <c r="G30" s="74">
        <f>E30*F30</f>
        <v>0</v>
      </c>
      <c r="H30" s="75"/>
    </row>
    <row r="31" spans="1:8" ht="30" customHeight="1" thickBot="1">
      <c r="A31" s="41" t="s">
        <v>35</v>
      </c>
      <c r="B31" s="42"/>
      <c r="C31" s="43">
        <f>SUM(C7:C30)</f>
        <v>0</v>
      </c>
      <c r="D31" s="44">
        <f>SUM(D7:D30)</f>
        <v>0</v>
      </c>
      <c r="E31" s="45"/>
      <c r="F31" s="46">
        <f>SUM(F7:F30)</f>
        <v>0</v>
      </c>
      <c r="G31" s="47">
        <f>SUM(G7:G30)</f>
        <v>0</v>
      </c>
      <c r="H31" s="88"/>
    </row>
    <row r="32" spans="1:8" ht="28.5" customHeight="1" thickBot="1"/>
    <row r="33" spans="1:3" ht="40.200000000000003" customHeight="1" thickBot="1">
      <c r="A33" s="138" t="s">
        <v>62</v>
      </c>
      <c r="B33" s="139"/>
      <c r="C33" s="89"/>
    </row>
    <row r="34" spans="1:3">
      <c r="A34" s="49" t="s">
        <v>73</v>
      </c>
      <c r="B34" s="50">
        <f>C31+F31</f>
        <v>0</v>
      </c>
      <c r="C34" s="90"/>
    </row>
    <row r="35" spans="1:3" ht="14.4" thickBot="1">
      <c r="A35" s="51" t="s">
        <v>57</v>
      </c>
      <c r="B35" s="52">
        <f>D31+G31</f>
        <v>0</v>
      </c>
      <c r="C35" s="90"/>
    </row>
  </sheetData>
  <sheetProtection algorithmName="SHA-512" hashValue="cHw3dUGijVJA8EzXGFgTDxvS13myUWjCDVS+1HvqTGoYofzCFGvk0egwL7wkSRed7O+OIW0+/6OgI65WP2RnFA==" saltValue="16EzOA+XFzFg/KTSPOfH3w==" spinCount="100000" sheet="1" objects="1" scenarios="1"/>
  <mergeCells count="5">
    <mergeCell ref="A33:B33"/>
    <mergeCell ref="B5:D5"/>
    <mergeCell ref="E5:G5"/>
    <mergeCell ref="A1:H1"/>
    <mergeCell ref="A3:I3"/>
  </mergeCells>
  <pageMargins left="0.7" right="0.7" top="0.75" bottom="0.75" header="0.3" footer="0.3"/>
  <pageSetup paperSize="9" scale="4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showGridLines="0" view="pageBreakPreview" zoomScale="60" zoomScaleNormal="75" workbookViewId="0">
      <selection activeCell="A3" sqref="A3:I3"/>
    </sheetView>
  </sheetViews>
  <sheetFormatPr baseColWidth="10" defaultColWidth="9" defaultRowHeight="13.8"/>
  <cols>
    <col min="1" max="1" width="80.09765625" style="22" customWidth="1"/>
    <col min="2" max="2" width="20.3984375" style="22" customWidth="1"/>
    <col min="3" max="4" width="20.3984375" style="23" customWidth="1"/>
    <col min="5" max="7" width="19.19921875" style="22" customWidth="1"/>
    <col min="8" max="8" width="67.19921875" style="22" customWidth="1"/>
    <col min="9" max="16384" width="9" style="22"/>
  </cols>
  <sheetData>
    <row r="1" spans="1:9" ht="52.2" customHeight="1">
      <c r="A1" s="145" t="s">
        <v>93</v>
      </c>
      <c r="B1" s="145"/>
      <c r="C1" s="145"/>
      <c r="D1" s="145"/>
      <c r="E1" s="145"/>
      <c r="F1" s="145"/>
      <c r="G1" s="145"/>
      <c r="H1" s="145"/>
      <c r="I1" s="145"/>
    </row>
    <row r="3" spans="1:9" ht="19.2" customHeight="1">
      <c r="A3" s="147" t="str">
        <f>'Estimatif budgétaire'!A3:G3</f>
        <v>[Préciser ici le nom de votre collectivité]</v>
      </c>
      <c r="B3" s="147"/>
      <c r="C3" s="147"/>
      <c r="D3" s="147"/>
      <c r="E3" s="147"/>
      <c r="F3" s="147"/>
      <c r="G3" s="147"/>
      <c r="H3" s="147"/>
      <c r="I3" s="147"/>
    </row>
    <row r="4" spans="1:9" s="54" customFormat="1" ht="19.2" customHeight="1" thickBot="1">
      <c r="A4" s="53"/>
      <c r="B4" s="53"/>
      <c r="C4" s="53"/>
      <c r="D4" s="53"/>
      <c r="E4" s="53"/>
      <c r="F4" s="53"/>
      <c r="G4" s="53"/>
      <c r="H4" s="53"/>
      <c r="I4" s="53"/>
    </row>
    <row r="5" spans="1:9" s="24" customFormat="1" ht="14.4" customHeight="1" thickBot="1">
      <c r="A5" s="149" t="s">
        <v>0</v>
      </c>
      <c r="B5" s="133" t="s">
        <v>51</v>
      </c>
      <c r="C5" s="148"/>
      <c r="D5" s="134"/>
      <c r="E5" s="143" t="s">
        <v>50</v>
      </c>
      <c r="F5" s="144"/>
      <c r="G5" s="136"/>
      <c r="H5" s="22"/>
    </row>
    <row r="6" spans="1:9" s="24" customFormat="1" ht="69" customHeight="1" thickBot="1">
      <c r="A6" s="150"/>
      <c r="B6" s="25" t="s">
        <v>52</v>
      </c>
      <c r="C6" s="26" t="s">
        <v>74</v>
      </c>
      <c r="D6" s="27" t="s">
        <v>56</v>
      </c>
      <c r="E6" s="28" t="s">
        <v>53</v>
      </c>
      <c r="F6" s="29" t="s">
        <v>75</v>
      </c>
      <c r="G6" s="30" t="s">
        <v>57</v>
      </c>
      <c r="H6" s="128" t="s">
        <v>1</v>
      </c>
    </row>
    <row r="7" spans="1:9" s="34" customFormat="1" ht="30" customHeight="1">
      <c r="A7" s="157" t="s">
        <v>102</v>
      </c>
      <c r="B7" s="38">
        <f>950/6</f>
        <v>158.33333333333334</v>
      </c>
      <c r="C7" s="8"/>
      <c r="D7" s="59">
        <f t="shared" ref="D7:D54" si="0">B7*C7</f>
        <v>0</v>
      </c>
      <c r="E7" s="38">
        <v>340</v>
      </c>
      <c r="F7" s="8"/>
      <c r="G7" s="64">
        <f t="shared" ref="G7:G54" si="1">E7*F7</f>
        <v>0</v>
      </c>
      <c r="H7" s="60"/>
    </row>
    <row r="8" spans="1:9" s="34" customFormat="1" ht="30" customHeight="1">
      <c r="A8" s="157" t="s">
        <v>103</v>
      </c>
      <c r="B8" s="38">
        <f>750/6</f>
        <v>125</v>
      </c>
      <c r="C8" s="8"/>
      <c r="D8" s="59">
        <f t="shared" si="0"/>
        <v>0</v>
      </c>
      <c r="E8" s="38">
        <v>310</v>
      </c>
      <c r="F8" s="8"/>
      <c r="G8" s="64">
        <f t="shared" si="1"/>
        <v>0</v>
      </c>
      <c r="H8" s="60"/>
    </row>
    <row r="9" spans="1:9" s="34" customFormat="1" ht="30" customHeight="1">
      <c r="A9" s="157" t="s">
        <v>100</v>
      </c>
      <c r="B9" s="38">
        <f>950/6</f>
        <v>158.33333333333334</v>
      </c>
      <c r="C9" s="8"/>
      <c r="D9" s="59">
        <f t="shared" si="0"/>
        <v>0</v>
      </c>
      <c r="E9" s="38">
        <v>340</v>
      </c>
      <c r="F9" s="8"/>
      <c r="G9" s="64">
        <f t="shared" si="1"/>
        <v>0</v>
      </c>
      <c r="H9" s="60"/>
    </row>
    <row r="10" spans="1:9" s="34" customFormat="1" ht="30" customHeight="1">
      <c r="A10" s="157" t="s">
        <v>101</v>
      </c>
      <c r="B10" s="38">
        <f>750/6</f>
        <v>125</v>
      </c>
      <c r="C10" s="8"/>
      <c r="D10" s="59">
        <f t="shared" si="0"/>
        <v>0</v>
      </c>
      <c r="E10" s="38">
        <v>310</v>
      </c>
      <c r="F10" s="8"/>
      <c r="G10" s="64">
        <f t="shared" si="1"/>
        <v>0</v>
      </c>
      <c r="H10" s="60"/>
    </row>
    <row r="11" spans="1:9" s="34" customFormat="1" ht="30" customHeight="1">
      <c r="A11" s="157" t="s">
        <v>134</v>
      </c>
      <c r="B11" s="38">
        <f>2300/6</f>
        <v>383.33333333333331</v>
      </c>
      <c r="C11" s="8"/>
      <c r="D11" s="59">
        <f t="shared" si="0"/>
        <v>0</v>
      </c>
      <c r="E11" s="38">
        <v>550</v>
      </c>
      <c r="F11" s="8"/>
      <c r="G11" s="64">
        <f t="shared" si="1"/>
        <v>0</v>
      </c>
      <c r="H11" s="60"/>
    </row>
    <row r="12" spans="1:9" s="34" customFormat="1" ht="30" customHeight="1">
      <c r="A12" s="157" t="s">
        <v>135</v>
      </c>
      <c r="B12" s="38">
        <f>1800/6</f>
        <v>300</v>
      </c>
      <c r="C12" s="8"/>
      <c r="D12" s="59">
        <f t="shared" si="0"/>
        <v>0</v>
      </c>
      <c r="E12" s="38">
        <v>500</v>
      </c>
      <c r="F12" s="8"/>
      <c r="G12" s="64">
        <f t="shared" si="1"/>
        <v>0</v>
      </c>
      <c r="H12" s="60"/>
    </row>
    <row r="13" spans="1:9" s="34" customFormat="1" ht="30" customHeight="1">
      <c r="A13" s="157" t="s">
        <v>104</v>
      </c>
      <c r="B13" s="38">
        <f>1800/6</f>
        <v>300</v>
      </c>
      <c r="C13" s="8"/>
      <c r="D13" s="59">
        <f t="shared" si="0"/>
        <v>0</v>
      </c>
      <c r="E13" s="38">
        <v>460</v>
      </c>
      <c r="F13" s="8"/>
      <c r="G13" s="64">
        <f t="shared" si="1"/>
        <v>0</v>
      </c>
      <c r="H13" s="60"/>
    </row>
    <row r="14" spans="1:9" s="34" customFormat="1" ht="30" customHeight="1">
      <c r="A14" s="157" t="s">
        <v>105</v>
      </c>
      <c r="B14" s="38">
        <f>1400/6</f>
        <v>233.33333333333334</v>
      </c>
      <c r="C14" s="8"/>
      <c r="D14" s="59">
        <f t="shared" si="0"/>
        <v>0</v>
      </c>
      <c r="E14" s="38">
        <v>400</v>
      </c>
      <c r="F14" s="8"/>
      <c r="G14" s="64">
        <f t="shared" si="1"/>
        <v>0</v>
      </c>
      <c r="H14" s="60"/>
    </row>
    <row r="15" spans="1:9" s="34" customFormat="1" ht="30" customHeight="1">
      <c r="A15" s="157" t="s">
        <v>132</v>
      </c>
      <c r="B15" s="38">
        <f>1650/6</f>
        <v>275</v>
      </c>
      <c r="C15" s="8"/>
      <c r="D15" s="59">
        <f>B15*C15</f>
        <v>0</v>
      </c>
      <c r="E15" s="38">
        <v>400</v>
      </c>
      <c r="F15" s="8"/>
      <c r="G15" s="64">
        <f t="shared" ref="G15:G22" si="2">E15*F15</f>
        <v>0</v>
      </c>
      <c r="H15" s="65"/>
    </row>
    <row r="16" spans="1:9" s="34" customFormat="1" ht="30" customHeight="1">
      <c r="A16" s="157" t="s">
        <v>133</v>
      </c>
      <c r="B16" s="38">
        <f>1300/6</f>
        <v>216.66666666666666</v>
      </c>
      <c r="C16" s="8"/>
      <c r="D16" s="59">
        <f>B16*C16</f>
        <v>0</v>
      </c>
      <c r="E16" s="38">
        <v>340</v>
      </c>
      <c r="F16" s="8"/>
      <c r="G16" s="64">
        <f t="shared" si="2"/>
        <v>0</v>
      </c>
      <c r="H16" s="65"/>
    </row>
    <row r="17" spans="1:8" s="34" customFormat="1" ht="30" customHeight="1">
      <c r="A17" s="157" t="s">
        <v>116</v>
      </c>
      <c r="B17" s="38">
        <f>1650/6</f>
        <v>275</v>
      </c>
      <c r="C17" s="8"/>
      <c r="D17" s="59">
        <f>B17*C17</f>
        <v>0</v>
      </c>
      <c r="E17" s="38">
        <v>400</v>
      </c>
      <c r="F17" s="8"/>
      <c r="G17" s="64">
        <f>E17*F17</f>
        <v>0</v>
      </c>
      <c r="H17" s="65"/>
    </row>
    <row r="18" spans="1:8" s="34" customFormat="1" ht="30" customHeight="1">
      <c r="A18" s="157" t="s">
        <v>117</v>
      </c>
      <c r="B18" s="38">
        <f>1300/6</f>
        <v>216.66666666666666</v>
      </c>
      <c r="C18" s="8"/>
      <c r="D18" s="59">
        <f>B18*C18</f>
        <v>0</v>
      </c>
      <c r="E18" s="38">
        <v>340</v>
      </c>
      <c r="F18" s="8"/>
      <c r="G18" s="64">
        <f>E18*F18</f>
        <v>0</v>
      </c>
      <c r="H18" s="65"/>
    </row>
    <row r="19" spans="1:8" s="34" customFormat="1" ht="30" customHeight="1">
      <c r="A19" s="157" t="s">
        <v>106</v>
      </c>
      <c r="B19" s="38">
        <f>1100/6</f>
        <v>183.33333333333334</v>
      </c>
      <c r="C19" s="8"/>
      <c r="D19" s="59">
        <f t="shared" ref="D19:D22" si="3">B19*C19</f>
        <v>0</v>
      </c>
      <c r="E19" s="38">
        <v>340</v>
      </c>
      <c r="F19" s="8"/>
      <c r="G19" s="64">
        <f t="shared" si="2"/>
        <v>0</v>
      </c>
      <c r="H19" s="60"/>
    </row>
    <row r="20" spans="1:8" s="34" customFormat="1" ht="30" customHeight="1">
      <c r="A20" s="157" t="s">
        <v>107</v>
      </c>
      <c r="B20" s="38">
        <f>950/6</f>
        <v>158.33333333333334</v>
      </c>
      <c r="C20" s="8"/>
      <c r="D20" s="59">
        <f t="shared" si="3"/>
        <v>0</v>
      </c>
      <c r="E20" s="38">
        <v>310</v>
      </c>
      <c r="F20" s="8"/>
      <c r="G20" s="64">
        <f t="shared" si="2"/>
        <v>0</v>
      </c>
      <c r="H20" s="65"/>
    </row>
    <row r="21" spans="1:8" s="34" customFormat="1" ht="30" customHeight="1">
      <c r="A21" s="157" t="s">
        <v>108</v>
      </c>
      <c r="B21" s="38">
        <f>1100/6</f>
        <v>183.33333333333334</v>
      </c>
      <c r="C21" s="8"/>
      <c r="D21" s="59">
        <f t="shared" si="3"/>
        <v>0</v>
      </c>
      <c r="E21" s="38">
        <v>340</v>
      </c>
      <c r="F21" s="8"/>
      <c r="G21" s="64">
        <f t="shared" si="2"/>
        <v>0</v>
      </c>
      <c r="H21" s="60"/>
    </row>
    <row r="22" spans="1:8" s="34" customFormat="1" ht="30" customHeight="1">
      <c r="A22" s="157" t="s">
        <v>109</v>
      </c>
      <c r="B22" s="38">
        <f>950/6</f>
        <v>158.33333333333334</v>
      </c>
      <c r="C22" s="8"/>
      <c r="D22" s="59">
        <f t="shared" si="3"/>
        <v>0</v>
      </c>
      <c r="E22" s="38">
        <v>310</v>
      </c>
      <c r="F22" s="8"/>
      <c r="G22" s="64">
        <f t="shared" si="2"/>
        <v>0</v>
      </c>
      <c r="H22" s="65"/>
    </row>
    <row r="23" spans="1:8" s="34" customFormat="1" ht="30" customHeight="1">
      <c r="A23" s="157" t="s">
        <v>118</v>
      </c>
      <c r="B23" s="38">
        <f>2800/6</f>
        <v>466.66666666666669</v>
      </c>
      <c r="C23" s="8"/>
      <c r="D23" s="59">
        <f t="shared" ref="D23:D32" si="4">B23*C23</f>
        <v>0</v>
      </c>
      <c r="E23" s="38">
        <v>700</v>
      </c>
      <c r="F23" s="8"/>
      <c r="G23" s="64">
        <f t="shared" ref="G23:G32" si="5">E23*F23</f>
        <v>0</v>
      </c>
      <c r="H23" s="60"/>
    </row>
    <row r="24" spans="1:8" s="34" customFormat="1" ht="30" customHeight="1">
      <c r="A24" s="157" t="s">
        <v>119</v>
      </c>
      <c r="B24" s="38">
        <f>1600/6</f>
        <v>266.66666666666669</v>
      </c>
      <c r="C24" s="8"/>
      <c r="D24" s="59">
        <f t="shared" si="4"/>
        <v>0</v>
      </c>
      <c r="E24" s="38">
        <v>480</v>
      </c>
      <c r="F24" s="8"/>
      <c r="G24" s="64">
        <f t="shared" si="5"/>
        <v>0</v>
      </c>
      <c r="H24" s="65"/>
    </row>
    <row r="25" spans="1:8" s="34" customFormat="1" ht="30" customHeight="1">
      <c r="A25" s="157" t="s">
        <v>120</v>
      </c>
      <c r="B25" s="38">
        <f>3000/6</f>
        <v>500</v>
      </c>
      <c r="C25" s="8"/>
      <c r="D25" s="59">
        <f t="shared" si="4"/>
        <v>0</v>
      </c>
      <c r="E25" s="38">
        <v>700</v>
      </c>
      <c r="F25" s="8"/>
      <c r="G25" s="64">
        <f t="shared" si="5"/>
        <v>0</v>
      </c>
      <c r="H25" s="60"/>
    </row>
    <row r="26" spans="1:8" s="34" customFormat="1" ht="30" customHeight="1">
      <c r="A26" s="157" t="s">
        <v>121</v>
      </c>
      <c r="B26" s="38">
        <f>2000/6</f>
        <v>333.33333333333331</v>
      </c>
      <c r="C26" s="8"/>
      <c r="D26" s="59">
        <f t="shared" si="4"/>
        <v>0</v>
      </c>
      <c r="E26" s="38">
        <v>480</v>
      </c>
      <c r="F26" s="8"/>
      <c r="G26" s="64">
        <f t="shared" si="5"/>
        <v>0</v>
      </c>
      <c r="H26" s="65"/>
    </row>
    <row r="27" spans="1:8" s="34" customFormat="1" ht="30" customHeight="1">
      <c r="A27" s="157" t="s">
        <v>122</v>
      </c>
      <c r="B27" s="38">
        <f>2600/6</f>
        <v>433.33333333333331</v>
      </c>
      <c r="C27" s="8"/>
      <c r="D27" s="59">
        <f t="shared" si="4"/>
        <v>0</v>
      </c>
      <c r="E27" s="38">
        <v>800</v>
      </c>
      <c r="F27" s="8"/>
      <c r="G27" s="64">
        <f t="shared" si="5"/>
        <v>0</v>
      </c>
      <c r="H27" s="60"/>
    </row>
    <row r="28" spans="1:8" s="34" customFormat="1" ht="30" customHeight="1">
      <c r="A28" s="157" t="s">
        <v>123</v>
      </c>
      <c r="B28" s="38">
        <f>1600/6</f>
        <v>266.66666666666669</v>
      </c>
      <c r="C28" s="8"/>
      <c r="D28" s="59">
        <f t="shared" si="4"/>
        <v>0</v>
      </c>
      <c r="E28" s="38">
        <v>590</v>
      </c>
      <c r="F28" s="8"/>
      <c r="G28" s="64">
        <f t="shared" si="5"/>
        <v>0</v>
      </c>
      <c r="H28" s="65"/>
    </row>
    <row r="29" spans="1:8" s="34" customFormat="1" ht="30" customHeight="1">
      <c r="A29" s="157" t="s">
        <v>114</v>
      </c>
      <c r="B29" s="38">
        <f>3800/6</f>
        <v>633.33333333333337</v>
      </c>
      <c r="C29" s="8"/>
      <c r="D29" s="59">
        <f t="shared" si="4"/>
        <v>0</v>
      </c>
      <c r="E29" s="38">
        <v>900</v>
      </c>
      <c r="F29" s="8"/>
      <c r="G29" s="64">
        <f t="shared" si="5"/>
        <v>0</v>
      </c>
      <c r="H29" s="60"/>
    </row>
    <row r="30" spans="1:8" s="34" customFormat="1" ht="30" customHeight="1">
      <c r="A30" s="157" t="s">
        <v>115</v>
      </c>
      <c r="B30" s="38">
        <f>2600/6</f>
        <v>433.33333333333331</v>
      </c>
      <c r="C30" s="8"/>
      <c r="D30" s="59">
        <f t="shared" si="4"/>
        <v>0</v>
      </c>
      <c r="E30" s="38">
        <v>600</v>
      </c>
      <c r="F30" s="8"/>
      <c r="G30" s="64">
        <f t="shared" si="5"/>
        <v>0</v>
      </c>
      <c r="H30" s="65"/>
    </row>
    <row r="31" spans="1:8" s="34" customFormat="1" ht="30" customHeight="1">
      <c r="A31" s="157" t="s">
        <v>136</v>
      </c>
      <c r="B31" s="38">
        <f>2400/6</f>
        <v>400</v>
      </c>
      <c r="C31" s="8"/>
      <c r="D31" s="59">
        <f t="shared" si="4"/>
        <v>0</v>
      </c>
      <c r="E31" s="38">
        <v>750</v>
      </c>
      <c r="F31" s="8"/>
      <c r="G31" s="64">
        <f t="shared" si="5"/>
        <v>0</v>
      </c>
      <c r="H31" s="60"/>
    </row>
    <row r="32" spans="1:8" s="34" customFormat="1" ht="30" customHeight="1">
      <c r="A32" s="157" t="s">
        <v>137</v>
      </c>
      <c r="B32" s="38">
        <f>1400/6</f>
        <v>233.33333333333334</v>
      </c>
      <c r="C32" s="8"/>
      <c r="D32" s="59">
        <f t="shared" si="4"/>
        <v>0</v>
      </c>
      <c r="E32" s="38">
        <v>590</v>
      </c>
      <c r="F32" s="8"/>
      <c r="G32" s="64">
        <f t="shared" si="5"/>
        <v>0</v>
      </c>
      <c r="H32" s="65"/>
    </row>
    <row r="33" spans="1:8" s="34" customFormat="1" ht="30" customHeight="1">
      <c r="A33" s="157" t="s">
        <v>110</v>
      </c>
      <c r="B33" s="38">
        <f>4000/6</f>
        <v>666.66666666666663</v>
      </c>
      <c r="C33" s="8"/>
      <c r="D33" s="59">
        <f t="shared" si="0"/>
        <v>0</v>
      </c>
      <c r="E33" s="38">
        <v>1100</v>
      </c>
      <c r="F33" s="8"/>
      <c r="G33" s="64">
        <f t="shared" si="1"/>
        <v>0</v>
      </c>
      <c r="H33" s="65"/>
    </row>
    <row r="34" spans="1:8" s="34" customFormat="1" ht="30" customHeight="1">
      <c r="A34" s="157" t="s">
        <v>111</v>
      </c>
      <c r="B34" s="38">
        <f>2900/6</f>
        <v>483.33333333333331</v>
      </c>
      <c r="C34" s="8"/>
      <c r="D34" s="59">
        <f t="shared" si="0"/>
        <v>0</v>
      </c>
      <c r="E34" s="38">
        <v>800</v>
      </c>
      <c r="F34" s="8"/>
      <c r="G34" s="64">
        <f t="shared" si="1"/>
        <v>0</v>
      </c>
      <c r="H34" s="65"/>
    </row>
    <row r="35" spans="1:8" s="34" customFormat="1" ht="30" customHeight="1">
      <c r="A35" s="157" t="s">
        <v>112</v>
      </c>
      <c r="B35" s="38">
        <f>2400/6</f>
        <v>400</v>
      </c>
      <c r="C35" s="8"/>
      <c r="D35" s="59">
        <f t="shared" si="0"/>
        <v>0</v>
      </c>
      <c r="E35" s="38">
        <v>690</v>
      </c>
      <c r="F35" s="8"/>
      <c r="G35" s="64">
        <f t="shared" si="1"/>
        <v>0</v>
      </c>
      <c r="H35" s="60"/>
    </row>
    <row r="36" spans="1:8" s="34" customFormat="1" ht="30" customHeight="1">
      <c r="A36" s="157" t="s">
        <v>113</v>
      </c>
      <c r="B36" s="38">
        <f>799/6</f>
        <v>133.16666666666666</v>
      </c>
      <c r="C36" s="8"/>
      <c r="D36" s="59">
        <f t="shared" si="0"/>
        <v>0</v>
      </c>
      <c r="E36" s="38">
        <v>590</v>
      </c>
      <c r="F36" s="8"/>
      <c r="G36" s="64">
        <f t="shared" si="1"/>
        <v>0</v>
      </c>
      <c r="H36" s="65"/>
    </row>
    <row r="37" spans="1:8" s="34" customFormat="1" ht="30" customHeight="1">
      <c r="A37" s="157" t="s">
        <v>138</v>
      </c>
      <c r="B37" s="38">
        <f>5500/6</f>
        <v>916.66666666666663</v>
      </c>
      <c r="C37" s="8"/>
      <c r="D37" s="59">
        <f>B37*C37</f>
        <v>0</v>
      </c>
      <c r="E37" s="38">
        <v>1350</v>
      </c>
      <c r="F37" s="8"/>
      <c r="G37" s="64">
        <f>E37*F37</f>
        <v>0</v>
      </c>
      <c r="H37" s="60"/>
    </row>
    <row r="38" spans="1:8" s="34" customFormat="1" ht="30" customHeight="1">
      <c r="A38" s="157" t="s">
        <v>139</v>
      </c>
      <c r="B38" s="38">
        <f>3500/6</f>
        <v>583.33333333333337</v>
      </c>
      <c r="C38" s="8"/>
      <c r="D38" s="59">
        <f>B38*C38</f>
        <v>0</v>
      </c>
      <c r="E38" s="38">
        <v>1000</v>
      </c>
      <c r="F38" s="8"/>
      <c r="G38" s="64">
        <f>E38*F38</f>
        <v>0</v>
      </c>
      <c r="H38" s="60"/>
    </row>
    <row r="39" spans="1:8" s="34" customFormat="1" ht="30" customHeight="1">
      <c r="A39" s="157" t="s">
        <v>140</v>
      </c>
      <c r="B39" s="38">
        <f>3500/6</f>
        <v>583.33333333333337</v>
      </c>
      <c r="C39" s="8"/>
      <c r="D39" s="59">
        <f>B39*C39</f>
        <v>0</v>
      </c>
      <c r="E39" s="38">
        <v>690</v>
      </c>
      <c r="F39" s="8"/>
      <c r="G39" s="64">
        <f>E39*F39</f>
        <v>0</v>
      </c>
      <c r="H39" s="60"/>
    </row>
    <row r="40" spans="1:8" s="34" customFormat="1" ht="30" customHeight="1">
      <c r="A40" s="157" t="s">
        <v>141</v>
      </c>
      <c r="B40" s="38">
        <f>2600/6</f>
        <v>433.33333333333331</v>
      </c>
      <c r="C40" s="8"/>
      <c r="D40" s="59">
        <f>B40*C40</f>
        <v>0</v>
      </c>
      <c r="E40" s="38">
        <v>525</v>
      </c>
      <c r="F40" s="8"/>
      <c r="G40" s="64">
        <f>E40*F40</f>
        <v>0</v>
      </c>
      <c r="H40" s="60"/>
    </row>
    <row r="41" spans="1:8" s="34" customFormat="1" ht="30" customHeight="1">
      <c r="A41" s="157" t="s">
        <v>124</v>
      </c>
      <c r="B41" s="38">
        <f>3400/6</f>
        <v>566.66666666666663</v>
      </c>
      <c r="C41" s="8"/>
      <c r="D41" s="59">
        <f t="shared" ref="D41:D52" si="6">B41*C41</f>
        <v>0</v>
      </c>
      <c r="E41" s="38">
        <v>950</v>
      </c>
      <c r="F41" s="8"/>
      <c r="G41" s="64">
        <f t="shared" ref="G41:G52" si="7">E41*F41</f>
        <v>0</v>
      </c>
      <c r="H41" s="60"/>
    </row>
    <row r="42" spans="1:8" s="34" customFormat="1" ht="30" customHeight="1">
      <c r="A42" s="157" t="s">
        <v>125</v>
      </c>
      <c r="B42" s="38">
        <f>1500/6</f>
        <v>250</v>
      </c>
      <c r="C42" s="8"/>
      <c r="D42" s="59">
        <f t="shared" si="6"/>
        <v>0</v>
      </c>
      <c r="E42" s="38">
        <v>500</v>
      </c>
      <c r="F42" s="8"/>
      <c r="G42" s="64">
        <f t="shared" si="7"/>
        <v>0</v>
      </c>
      <c r="H42" s="60"/>
    </row>
    <row r="43" spans="1:8" s="34" customFormat="1" ht="30" customHeight="1">
      <c r="A43" s="158" t="s">
        <v>126</v>
      </c>
      <c r="B43" s="38">
        <f>1000/6</f>
        <v>166.66666666666666</v>
      </c>
      <c r="C43" s="8"/>
      <c r="D43" s="59">
        <f t="shared" si="6"/>
        <v>0</v>
      </c>
      <c r="E43" s="38">
        <v>250</v>
      </c>
      <c r="F43" s="8"/>
      <c r="G43" s="64">
        <f t="shared" si="7"/>
        <v>0</v>
      </c>
      <c r="H43" s="60"/>
    </row>
    <row r="44" spans="1:8" s="34" customFormat="1" ht="30" customHeight="1">
      <c r="A44" s="158" t="s">
        <v>127</v>
      </c>
      <c r="B44" s="38">
        <f>800/6</f>
        <v>133.33333333333334</v>
      </c>
      <c r="C44" s="8"/>
      <c r="D44" s="59">
        <f t="shared" si="6"/>
        <v>0</v>
      </c>
      <c r="E44" s="38">
        <v>200</v>
      </c>
      <c r="F44" s="8"/>
      <c r="G44" s="64">
        <f t="shared" si="7"/>
        <v>0</v>
      </c>
      <c r="H44" s="60"/>
    </row>
    <row r="45" spans="1:8" s="34" customFormat="1" ht="30" customHeight="1">
      <c r="A45" s="158" t="s">
        <v>128</v>
      </c>
      <c r="B45" s="38">
        <f>2000/6</f>
        <v>333.33333333333331</v>
      </c>
      <c r="C45" s="8"/>
      <c r="D45" s="59">
        <f t="shared" si="6"/>
        <v>0</v>
      </c>
      <c r="E45" s="38">
        <v>450</v>
      </c>
      <c r="F45" s="8"/>
      <c r="G45" s="64">
        <f t="shared" si="7"/>
        <v>0</v>
      </c>
      <c r="H45" s="60"/>
    </row>
    <row r="46" spans="1:8" s="34" customFormat="1" ht="30" customHeight="1">
      <c r="A46" s="158" t="s">
        <v>129</v>
      </c>
      <c r="B46" s="38">
        <f>1100/6</f>
        <v>183.33333333333334</v>
      </c>
      <c r="C46" s="8"/>
      <c r="D46" s="59">
        <f t="shared" si="6"/>
        <v>0</v>
      </c>
      <c r="E46" s="38">
        <v>300</v>
      </c>
      <c r="F46" s="8"/>
      <c r="G46" s="64">
        <f t="shared" si="7"/>
        <v>0</v>
      </c>
      <c r="H46" s="60"/>
    </row>
    <row r="47" spans="1:8" s="34" customFormat="1" ht="30" customHeight="1">
      <c r="A47" s="158" t="s">
        <v>144</v>
      </c>
      <c r="B47" s="38">
        <f>2000/6</f>
        <v>333.33333333333331</v>
      </c>
      <c r="C47" s="8"/>
      <c r="D47" s="59">
        <f t="shared" si="6"/>
        <v>0</v>
      </c>
      <c r="E47" s="38">
        <v>450</v>
      </c>
      <c r="F47" s="8"/>
      <c r="G47" s="64">
        <f t="shared" si="7"/>
        <v>0</v>
      </c>
      <c r="H47" s="60"/>
    </row>
    <row r="48" spans="1:8" s="34" customFormat="1" ht="30" customHeight="1">
      <c r="A48" s="158" t="s">
        <v>145</v>
      </c>
      <c r="B48" s="38">
        <f>1100/6</f>
        <v>183.33333333333334</v>
      </c>
      <c r="C48" s="8"/>
      <c r="D48" s="59">
        <f t="shared" si="6"/>
        <v>0</v>
      </c>
      <c r="E48" s="38">
        <v>300</v>
      </c>
      <c r="F48" s="8"/>
      <c r="G48" s="64">
        <f t="shared" si="7"/>
        <v>0</v>
      </c>
      <c r="H48" s="60"/>
    </row>
    <row r="49" spans="1:8" s="34" customFormat="1" ht="30" customHeight="1">
      <c r="A49" s="158" t="s">
        <v>130</v>
      </c>
      <c r="B49" s="38">
        <f>2000/6</f>
        <v>333.33333333333331</v>
      </c>
      <c r="C49" s="11"/>
      <c r="D49" s="59">
        <f t="shared" si="6"/>
        <v>0</v>
      </c>
      <c r="E49" s="38">
        <v>450</v>
      </c>
      <c r="F49" s="11"/>
      <c r="G49" s="64">
        <f t="shared" si="7"/>
        <v>0</v>
      </c>
      <c r="H49" s="60"/>
    </row>
    <row r="50" spans="1:8" s="34" customFormat="1" ht="30" customHeight="1">
      <c r="A50" s="158" t="s">
        <v>131</v>
      </c>
      <c r="B50" s="38">
        <f>1100/6</f>
        <v>183.33333333333334</v>
      </c>
      <c r="C50" s="8"/>
      <c r="D50" s="59">
        <f t="shared" si="6"/>
        <v>0</v>
      </c>
      <c r="E50" s="38">
        <v>300</v>
      </c>
      <c r="F50" s="8"/>
      <c r="G50" s="64">
        <f t="shared" si="7"/>
        <v>0</v>
      </c>
      <c r="H50" s="60"/>
    </row>
    <row r="51" spans="1:8" s="34" customFormat="1" ht="30" customHeight="1">
      <c r="A51" s="157" t="s">
        <v>142</v>
      </c>
      <c r="B51" s="38">
        <f>6000/6</f>
        <v>1000</v>
      </c>
      <c r="C51" s="8"/>
      <c r="D51" s="59">
        <f t="shared" si="6"/>
        <v>0</v>
      </c>
      <c r="E51" s="38">
        <v>1400</v>
      </c>
      <c r="F51" s="8"/>
      <c r="G51" s="64">
        <f t="shared" si="7"/>
        <v>0</v>
      </c>
      <c r="H51" s="60"/>
    </row>
    <row r="52" spans="1:8" s="34" customFormat="1" ht="30" customHeight="1">
      <c r="A52" s="157" t="s">
        <v>143</v>
      </c>
      <c r="B52" s="38">
        <f>4000/6</f>
        <v>666.66666666666663</v>
      </c>
      <c r="C52" s="8"/>
      <c r="D52" s="59">
        <f t="shared" si="6"/>
        <v>0</v>
      </c>
      <c r="E52" s="38">
        <v>1100</v>
      </c>
      <c r="F52" s="8"/>
      <c r="G52" s="64">
        <f t="shared" si="7"/>
        <v>0</v>
      </c>
      <c r="H52" s="60"/>
    </row>
    <row r="53" spans="1:8" ht="30" customHeight="1">
      <c r="A53" s="124" t="s">
        <v>146</v>
      </c>
      <c r="B53" s="7"/>
      <c r="C53" s="8"/>
      <c r="D53" s="59">
        <f t="shared" si="0"/>
        <v>0</v>
      </c>
      <c r="E53" s="7"/>
      <c r="F53" s="2"/>
      <c r="G53" s="71">
        <f t="shared" si="1"/>
        <v>0</v>
      </c>
      <c r="H53" s="73"/>
    </row>
    <row r="54" spans="1:8" ht="30" customHeight="1" thickBot="1">
      <c r="A54" s="125" t="s">
        <v>146</v>
      </c>
      <c r="B54" s="12"/>
      <c r="C54" s="8"/>
      <c r="D54" s="61">
        <f t="shared" si="0"/>
        <v>0</v>
      </c>
      <c r="E54" s="12"/>
      <c r="F54" s="2"/>
      <c r="G54" s="74">
        <f t="shared" si="1"/>
        <v>0</v>
      </c>
      <c r="H54" s="75"/>
    </row>
    <row r="55" spans="1:8" ht="30" customHeight="1" thickBot="1">
      <c r="A55" s="41" t="s">
        <v>36</v>
      </c>
      <c r="B55" s="123"/>
      <c r="C55" s="43">
        <f>SUM(C7:C54)</f>
        <v>0</v>
      </c>
      <c r="D55" s="44">
        <f>SUM(D7:D54)</f>
        <v>0</v>
      </c>
      <c r="E55" s="45"/>
      <c r="F55" s="46">
        <f>SUM(F7:F54)</f>
        <v>0</v>
      </c>
      <c r="G55" s="47">
        <f>SUM(G7:G54)</f>
        <v>0</v>
      </c>
    </row>
    <row r="57" spans="1:8" ht="14.4" thickBot="1"/>
    <row r="58" spans="1:8" ht="40.200000000000003" customHeight="1" thickBot="1">
      <c r="A58" s="138" t="s">
        <v>61</v>
      </c>
      <c r="B58" s="139"/>
    </row>
    <row r="59" spans="1:8">
      <c r="A59" s="49" t="s">
        <v>73</v>
      </c>
      <c r="B59" s="50">
        <f>C55+F55</f>
        <v>0</v>
      </c>
    </row>
    <row r="60" spans="1:8" ht="14.4" thickBot="1">
      <c r="A60" s="51" t="s">
        <v>57</v>
      </c>
      <c r="B60" s="52">
        <f>D55+G55</f>
        <v>0</v>
      </c>
    </row>
  </sheetData>
  <sheetProtection algorithmName="SHA-512" hashValue="hILAP9mh8QsVznwrGhJRomzlglOkX6jok1dbFL8mFwFOgepi+LTUdT3hbI0dvPwQMh7VLEp5f1QMfc5Ls1lYxQ==" saltValue="IWgG7byI/d2lNRxWYbo1IQ==" spinCount="100000" sheet="1" objects="1" scenarios="1"/>
  <mergeCells count="6">
    <mergeCell ref="A3:I3"/>
    <mergeCell ref="A1:I1"/>
    <mergeCell ref="A58:B58"/>
    <mergeCell ref="B5:D5"/>
    <mergeCell ref="E5:G5"/>
    <mergeCell ref="A5:A6"/>
  </mergeCells>
  <pageMargins left="0.7" right="0.7" top="0.75" bottom="0.75" header="0.3" footer="0.3"/>
  <pageSetup paperSize="9" scale="2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showGridLines="0" view="pageBreakPreview" zoomScale="60" zoomScaleNormal="100" workbookViewId="0">
      <selection activeCell="G20" sqref="G20"/>
    </sheetView>
  </sheetViews>
  <sheetFormatPr baseColWidth="10" defaultColWidth="9" defaultRowHeight="13.8"/>
  <cols>
    <col min="1" max="1" width="48.8984375" style="22" customWidth="1"/>
    <col min="2" max="2" width="20.3984375" style="22" customWidth="1"/>
    <col min="3" max="4" width="20.3984375" style="23" customWidth="1"/>
    <col min="5" max="7" width="19.19921875" style="22" customWidth="1"/>
    <col min="8" max="8" width="88.69921875" style="22" customWidth="1"/>
    <col min="9" max="16384" width="9" style="22"/>
  </cols>
  <sheetData>
    <row r="1" spans="1:9" ht="52.2" customHeight="1">
      <c r="A1" s="145" t="s">
        <v>94</v>
      </c>
      <c r="B1" s="145"/>
      <c r="C1" s="145"/>
      <c r="D1" s="145"/>
      <c r="E1" s="145"/>
      <c r="F1" s="145"/>
      <c r="G1" s="145"/>
      <c r="H1" s="145"/>
      <c r="I1" s="145"/>
    </row>
    <row r="3" spans="1:9" ht="19.2" customHeight="1">
      <c r="A3" s="147" t="str">
        <f>'Estimatif budgétaire'!A3:G3</f>
        <v>[Préciser ici le nom de votre collectivité]</v>
      </c>
      <c r="B3" s="147"/>
      <c r="C3" s="147"/>
      <c r="D3" s="147"/>
      <c r="E3" s="147"/>
      <c r="F3" s="147"/>
      <c r="G3" s="147"/>
      <c r="H3" s="147"/>
      <c r="I3" s="147"/>
    </row>
    <row r="4" spans="1:9" s="54" customFormat="1" ht="19.2" customHeight="1" thickBot="1">
      <c r="A4" s="53"/>
      <c r="B4" s="53"/>
      <c r="C4" s="53"/>
      <c r="D4" s="53"/>
      <c r="E4" s="53"/>
      <c r="F4" s="53"/>
      <c r="G4" s="53"/>
      <c r="H4" s="53"/>
      <c r="I4" s="53"/>
    </row>
    <row r="5" spans="1:9" s="24" customFormat="1" ht="14.4" thickBot="1">
      <c r="A5" s="149" t="s">
        <v>0</v>
      </c>
      <c r="B5" s="133" t="s">
        <v>51</v>
      </c>
      <c r="C5" s="148"/>
      <c r="D5" s="134"/>
      <c r="E5" s="143" t="s">
        <v>50</v>
      </c>
      <c r="F5" s="144"/>
      <c r="G5" s="136"/>
      <c r="H5" s="22"/>
    </row>
    <row r="6" spans="1:9" s="24" customFormat="1" ht="67.95" customHeight="1" thickBot="1">
      <c r="A6" s="150"/>
      <c r="B6" s="25" t="s">
        <v>52</v>
      </c>
      <c r="C6" s="26" t="s">
        <v>74</v>
      </c>
      <c r="D6" s="27" t="s">
        <v>56</v>
      </c>
      <c r="E6" s="28" t="s">
        <v>53</v>
      </c>
      <c r="F6" s="29" t="s">
        <v>75</v>
      </c>
      <c r="G6" s="30" t="s">
        <v>57</v>
      </c>
      <c r="H6" s="128" t="s">
        <v>1</v>
      </c>
    </row>
    <row r="7" spans="1:9" s="34" customFormat="1" ht="30" customHeight="1">
      <c r="A7" s="13" t="s">
        <v>47</v>
      </c>
      <c r="B7" s="55">
        <f>109.73*1.12</f>
        <v>122.89760000000001</v>
      </c>
      <c r="C7" s="10"/>
      <c r="D7" s="56">
        <f>B7*C7</f>
        <v>0</v>
      </c>
      <c r="E7" s="31">
        <f>135.85*1.12</f>
        <v>152.15200000000002</v>
      </c>
      <c r="F7" s="6"/>
      <c r="G7" s="32">
        <f>E7*F7</f>
        <v>0</v>
      </c>
      <c r="H7" s="60"/>
    </row>
    <row r="8" spans="1:9" s="34" customFormat="1" ht="30" customHeight="1">
      <c r="A8" s="19" t="s">
        <v>10</v>
      </c>
      <c r="B8" s="58">
        <f>54.34*1.12</f>
        <v>60.860800000000012</v>
      </c>
      <c r="C8" s="8"/>
      <c r="D8" s="64">
        <f>B8*C8</f>
        <v>0</v>
      </c>
      <c r="E8" s="35">
        <f>67.93*1.12</f>
        <v>76.081600000000009</v>
      </c>
      <c r="F8" s="2"/>
      <c r="G8" s="36">
        <f>E8*F8</f>
        <v>0</v>
      </c>
      <c r="H8" s="65"/>
    </row>
    <row r="9" spans="1:9" ht="30" customHeight="1">
      <c r="A9" s="1" t="s">
        <v>68</v>
      </c>
      <c r="B9" s="7"/>
      <c r="C9" s="8"/>
      <c r="D9" s="64">
        <f>B9*C9</f>
        <v>0</v>
      </c>
      <c r="E9" s="7"/>
      <c r="F9" s="2"/>
      <c r="G9" s="36">
        <f>E9*F9</f>
        <v>0</v>
      </c>
      <c r="H9" s="60"/>
      <c r="I9" s="39"/>
    </row>
    <row r="10" spans="1:9" ht="30" customHeight="1" thickBot="1">
      <c r="A10" s="1" t="s">
        <v>68</v>
      </c>
      <c r="B10" s="12"/>
      <c r="C10" s="11"/>
      <c r="D10" s="66">
        <f>B10*C10</f>
        <v>0</v>
      </c>
      <c r="E10" s="12"/>
      <c r="F10" s="4"/>
      <c r="G10" s="62">
        <f>E10*F10</f>
        <v>0</v>
      </c>
      <c r="H10" s="67"/>
      <c r="I10" s="39"/>
    </row>
    <row r="11" spans="1:9" ht="30" customHeight="1" thickBot="1">
      <c r="A11" s="41" t="s">
        <v>38</v>
      </c>
      <c r="B11" s="42"/>
      <c r="C11" s="43">
        <f>SUM(C7:C10)</f>
        <v>0</v>
      </c>
      <c r="D11" s="44">
        <f>SUM(D7:D10)</f>
        <v>0</v>
      </c>
      <c r="E11" s="45"/>
      <c r="F11" s="46">
        <f>SUM(F7:F10)</f>
        <v>0</v>
      </c>
      <c r="G11" s="47">
        <f>SUM(G7:G10)</f>
        <v>0</v>
      </c>
      <c r="H11" s="68"/>
      <c r="I11" s="48"/>
    </row>
    <row r="13" spans="1:9" ht="14.4" thickBot="1"/>
    <row r="14" spans="1:9" ht="40.200000000000003" customHeight="1" thickBot="1">
      <c r="A14" s="138" t="s">
        <v>88</v>
      </c>
      <c r="B14" s="139"/>
    </row>
    <row r="15" spans="1:9" ht="22.95" customHeight="1">
      <c r="A15" s="49" t="s">
        <v>73</v>
      </c>
      <c r="B15" s="50">
        <f>C11+F11</f>
        <v>0</v>
      </c>
    </row>
    <row r="16" spans="1:9" ht="28.2" customHeight="1" thickBot="1">
      <c r="A16" s="51" t="s">
        <v>57</v>
      </c>
      <c r="B16" s="52">
        <f>D11+G11</f>
        <v>0</v>
      </c>
    </row>
  </sheetData>
  <sheetProtection algorithmName="SHA-512" hashValue="BxS+YsteNW/Z8SglGh/jFoHTlcZhOza4m5ch77miWA4p2dpXNaqicSVeqbBuUPZBe5QcqGA3SiQxp4gBzYpM8w==" saltValue="kz1XaIzgfmTBy6BQ5YGsDw==" spinCount="100000" sheet="1" objects="1" scenarios="1"/>
  <mergeCells count="6">
    <mergeCell ref="A14:B14"/>
    <mergeCell ref="A1:I1"/>
    <mergeCell ref="A3:I3"/>
    <mergeCell ref="A5:A6"/>
    <mergeCell ref="B5:D5"/>
    <mergeCell ref="E5:G5"/>
  </mergeCells>
  <pageMargins left="0.7" right="0.7" top="0.75" bottom="0.75" header="0.3" footer="0.3"/>
  <pageSetup paperSize="9" scale="4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showGridLines="0" view="pageBreakPreview" zoomScale="60" zoomScaleNormal="100" workbookViewId="0">
      <selection activeCell="E26" sqref="E26"/>
    </sheetView>
  </sheetViews>
  <sheetFormatPr baseColWidth="10" defaultColWidth="9" defaultRowHeight="13.8"/>
  <cols>
    <col min="1" max="1" width="48.8984375" style="22" customWidth="1"/>
    <col min="2" max="2" width="20.3984375" style="22" customWidth="1"/>
    <col min="3" max="4" width="20.3984375" style="23" customWidth="1"/>
    <col min="5" max="7" width="19.19921875" style="22" customWidth="1"/>
    <col min="8" max="8" width="88.69921875" style="22" customWidth="1"/>
    <col min="9" max="16384" width="9" style="22"/>
  </cols>
  <sheetData>
    <row r="1" spans="1:9" ht="52.2" customHeight="1">
      <c r="A1" s="145" t="s">
        <v>95</v>
      </c>
      <c r="B1" s="145"/>
      <c r="C1" s="145"/>
      <c r="D1" s="145"/>
      <c r="E1" s="145"/>
      <c r="F1" s="145"/>
      <c r="G1" s="145"/>
      <c r="H1" s="145"/>
      <c r="I1" s="145"/>
    </row>
    <row r="3" spans="1:9" ht="19.2" customHeight="1">
      <c r="A3" s="147" t="str">
        <f>'Estimatif budgétaire'!A3:G3</f>
        <v>[Préciser ici le nom de votre collectivité]</v>
      </c>
      <c r="B3" s="147"/>
      <c r="C3" s="147"/>
      <c r="D3" s="147"/>
      <c r="E3" s="147"/>
      <c r="F3" s="147"/>
      <c r="G3" s="147"/>
      <c r="H3" s="147"/>
      <c r="I3" s="147"/>
    </row>
    <row r="4" spans="1:9" s="54" customFormat="1" ht="19.2" customHeight="1" thickBot="1">
      <c r="A4" s="53"/>
      <c r="B4" s="53"/>
      <c r="C4" s="53"/>
      <c r="D4" s="53"/>
      <c r="E4" s="53"/>
      <c r="F4" s="53"/>
      <c r="G4" s="53"/>
      <c r="H4" s="53"/>
      <c r="I4" s="53"/>
    </row>
    <row r="5" spans="1:9" s="24" customFormat="1" ht="14.4" thickBot="1">
      <c r="A5" s="149" t="s">
        <v>0</v>
      </c>
      <c r="B5" s="140" t="s">
        <v>51</v>
      </c>
      <c r="C5" s="141"/>
      <c r="D5" s="142"/>
      <c r="E5" s="151" t="s">
        <v>50</v>
      </c>
      <c r="F5" s="152"/>
      <c r="G5" s="153"/>
      <c r="H5" s="22"/>
    </row>
    <row r="6" spans="1:9" s="24" customFormat="1" ht="67.95" customHeight="1" thickBot="1">
      <c r="A6" s="150"/>
      <c r="B6" s="25" t="s">
        <v>52</v>
      </c>
      <c r="C6" s="26" t="s">
        <v>74</v>
      </c>
      <c r="D6" s="27" t="s">
        <v>56</v>
      </c>
      <c r="E6" s="28" t="s">
        <v>53</v>
      </c>
      <c r="F6" s="29" t="s">
        <v>75</v>
      </c>
      <c r="G6" s="30" t="s">
        <v>57</v>
      </c>
      <c r="H6" s="128" t="s">
        <v>1</v>
      </c>
    </row>
    <row r="7" spans="1:9" s="34" customFormat="1" ht="30" customHeight="1">
      <c r="A7" s="20" t="s">
        <v>65</v>
      </c>
      <c r="B7" s="58">
        <f>76*1.12</f>
        <v>85.12</v>
      </c>
      <c r="C7" s="8"/>
      <c r="D7" s="64">
        <f t="shared" ref="D7:D9" si="0">B7*C7</f>
        <v>0</v>
      </c>
      <c r="E7" s="38">
        <f>160*1.12</f>
        <v>179.20000000000002</v>
      </c>
      <c r="F7" s="8"/>
      <c r="G7" s="36">
        <f t="shared" ref="G7:G9" si="1">E7*F7</f>
        <v>0</v>
      </c>
      <c r="H7" s="60"/>
    </row>
    <row r="8" spans="1:9" ht="30" customHeight="1">
      <c r="A8" s="1" t="s">
        <v>68</v>
      </c>
      <c r="B8" s="7"/>
      <c r="C8" s="8"/>
      <c r="D8" s="64">
        <f t="shared" si="0"/>
        <v>0</v>
      </c>
      <c r="E8" s="7"/>
      <c r="F8" s="2"/>
      <c r="G8" s="36">
        <f t="shared" si="1"/>
        <v>0</v>
      </c>
      <c r="H8" s="60"/>
      <c r="I8" s="39"/>
    </row>
    <row r="9" spans="1:9" ht="30" customHeight="1" thickBot="1">
      <c r="A9" s="1" t="s">
        <v>68</v>
      </c>
      <c r="B9" s="12"/>
      <c r="C9" s="11"/>
      <c r="D9" s="66">
        <f t="shared" si="0"/>
        <v>0</v>
      </c>
      <c r="E9" s="12"/>
      <c r="F9" s="4"/>
      <c r="G9" s="62">
        <f t="shared" si="1"/>
        <v>0</v>
      </c>
      <c r="H9" s="67"/>
      <c r="I9" s="39"/>
    </row>
    <row r="10" spans="1:9" ht="30" customHeight="1" thickBot="1">
      <c r="A10" s="41" t="s">
        <v>38</v>
      </c>
      <c r="B10" s="42"/>
      <c r="C10" s="43">
        <f>SUM(C7:C9)</f>
        <v>0</v>
      </c>
      <c r="D10" s="44">
        <f>SUM(D7:D9)</f>
        <v>0</v>
      </c>
      <c r="E10" s="45"/>
      <c r="F10" s="46">
        <f>SUM(F7:F9)</f>
        <v>0</v>
      </c>
      <c r="G10" s="47">
        <f>SUM(G7:G9)</f>
        <v>0</v>
      </c>
      <c r="H10" s="68"/>
      <c r="I10" s="48"/>
    </row>
    <row r="12" spans="1:9" ht="14.4" thickBot="1"/>
    <row r="13" spans="1:9" ht="40.200000000000003" customHeight="1" thickBot="1">
      <c r="A13" s="138" t="s">
        <v>89</v>
      </c>
      <c r="B13" s="139"/>
    </row>
    <row r="14" spans="1:9">
      <c r="A14" s="49" t="s">
        <v>73</v>
      </c>
      <c r="B14" s="50">
        <f>C10+F10</f>
        <v>0</v>
      </c>
    </row>
    <row r="15" spans="1:9" ht="14.4" thickBot="1">
      <c r="A15" s="51" t="s">
        <v>57</v>
      </c>
      <c r="B15" s="52">
        <f>D10+G10</f>
        <v>0</v>
      </c>
    </row>
  </sheetData>
  <sheetProtection algorithmName="SHA-512" hashValue="AA3C1e+yzBvqNY3VP5BJGDlT0J7IkI6mgqCHF4lUhqTJf+UY8k+q21UEOUfOEZkeleEz3blY78PPzyxAaAQa1w==" saltValue="AxH/w8C9VQuAZxCnsc3QIg==" spinCount="100000" sheet="1" objects="1" scenarios="1"/>
  <mergeCells count="6">
    <mergeCell ref="A1:I1"/>
    <mergeCell ref="A3:I3"/>
    <mergeCell ref="E5:G5"/>
    <mergeCell ref="B5:D5"/>
    <mergeCell ref="A13:B13"/>
    <mergeCell ref="A5:A6"/>
  </mergeCells>
  <pageMargins left="0.7" right="0.7" top="0.75" bottom="0.75" header="0.3" footer="0.3"/>
  <pageSetup paperSize="9" scale="4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view="pageBreakPreview" zoomScale="60" zoomScaleNormal="100" workbookViewId="0">
      <selection activeCell="F7" activeCellId="5" sqref="A3:I3 A11:A12 B11:B12 C7:C12 E11:E12 F7:F12"/>
    </sheetView>
  </sheetViews>
  <sheetFormatPr baseColWidth="10" defaultColWidth="9" defaultRowHeight="13.8"/>
  <cols>
    <col min="1" max="1" width="48.8984375" style="22" customWidth="1"/>
    <col min="2" max="2" width="20.3984375" style="22" customWidth="1"/>
    <col min="3" max="4" width="20.3984375" style="23" customWidth="1"/>
    <col min="5" max="7" width="19.19921875" style="22" customWidth="1"/>
    <col min="8" max="8" width="88.69921875" style="22" customWidth="1"/>
    <col min="9" max="16384" width="9" style="22"/>
  </cols>
  <sheetData>
    <row r="1" spans="1:9" ht="52.2" customHeight="1">
      <c r="A1" s="145" t="s">
        <v>96</v>
      </c>
      <c r="B1" s="145"/>
      <c r="C1" s="145"/>
      <c r="D1" s="145"/>
      <c r="E1" s="145"/>
      <c r="F1" s="145"/>
      <c r="G1" s="145"/>
      <c r="H1" s="145"/>
      <c r="I1" s="145"/>
    </row>
    <row r="3" spans="1:9" ht="19.2" customHeight="1">
      <c r="A3" s="147" t="str">
        <f>'Estimatif budgétaire'!A3:G3</f>
        <v>[Préciser ici le nom de votre collectivité]</v>
      </c>
      <c r="B3" s="147"/>
      <c r="C3" s="147"/>
      <c r="D3" s="147"/>
      <c r="E3" s="147"/>
      <c r="F3" s="147"/>
      <c r="G3" s="147"/>
      <c r="H3" s="147"/>
      <c r="I3" s="147"/>
    </row>
    <row r="4" spans="1:9" s="54" customFormat="1" ht="19.2" customHeight="1" thickBot="1">
      <c r="A4" s="53"/>
      <c r="B4" s="53"/>
      <c r="C4" s="53"/>
      <c r="D4" s="53"/>
      <c r="E4" s="53"/>
      <c r="F4" s="53"/>
      <c r="G4" s="53"/>
      <c r="H4" s="53"/>
      <c r="I4" s="53"/>
    </row>
    <row r="5" spans="1:9" s="24" customFormat="1" ht="14.4" thickBot="1">
      <c r="A5" s="149" t="s">
        <v>0</v>
      </c>
      <c r="B5" s="133" t="s">
        <v>51</v>
      </c>
      <c r="C5" s="148"/>
      <c r="D5" s="134"/>
      <c r="E5" s="143" t="s">
        <v>50</v>
      </c>
      <c r="F5" s="144"/>
      <c r="G5" s="136"/>
      <c r="H5" s="22"/>
    </row>
    <row r="6" spans="1:9" s="24" customFormat="1" ht="67.95" customHeight="1" thickBot="1">
      <c r="A6" s="150"/>
      <c r="B6" s="25" t="s">
        <v>52</v>
      </c>
      <c r="C6" s="26" t="s">
        <v>74</v>
      </c>
      <c r="D6" s="27" t="s">
        <v>56</v>
      </c>
      <c r="E6" s="28" t="s">
        <v>53</v>
      </c>
      <c r="F6" s="29" t="s">
        <v>75</v>
      </c>
      <c r="G6" s="30" t="s">
        <v>57</v>
      </c>
      <c r="H6" s="128" t="s">
        <v>1</v>
      </c>
    </row>
    <row r="7" spans="1:9" s="34" customFormat="1" ht="30" customHeight="1">
      <c r="A7" s="63" t="s">
        <v>69</v>
      </c>
      <c r="B7" s="58">
        <f>260*1.12</f>
        <v>291.20000000000005</v>
      </c>
      <c r="C7" s="8"/>
      <c r="D7" s="64">
        <f t="shared" ref="D7:D12" si="0">B7*C7</f>
        <v>0</v>
      </c>
      <c r="E7" s="38">
        <f>360*1.12</f>
        <v>403.20000000000005</v>
      </c>
      <c r="F7" s="8"/>
      <c r="G7" s="36">
        <f t="shared" ref="G7:G12" si="1">E7*F7</f>
        <v>0</v>
      </c>
      <c r="H7" s="60" t="s">
        <v>66</v>
      </c>
    </row>
    <row r="8" spans="1:9" s="34" customFormat="1" ht="30" customHeight="1">
      <c r="A8" s="63" t="s">
        <v>63</v>
      </c>
      <c r="B8" s="58">
        <f>260*1.12</f>
        <v>291.20000000000005</v>
      </c>
      <c r="C8" s="8"/>
      <c r="D8" s="64">
        <f t="shared" si="0"/>
        <v>0</v>
      </c>
      <c r="E8" s="38">
        <f>360*1.12</f>
        <v>403.20000000000005</v>
      </c>
      <c r="F8" s="8"/>
      <c r="G8" s="36">
        <f t="shared" si="1"/>
        <v>0</v>
      </c>
      <c r="H8" s="65" t="s">
        <v>72</v>
      </c>
    </row>
    <row r="9" spans="1:9" s="34" customFormat="1" ht="30" customHeight="1">
      <c r="A9" s="63" t="s">
        <v>98</v>
      </c>
      <c r="B9" s="58">
        <v>145.6</v>
      </c>
      <c r="C9" s="8"/>
      <c r="D9" s="64">
        <f t="shared" si="0"/>
        <v>0</v>
      </c>
      <c r="E9" s="38">
        <v>201.6</v>
      </c>
      <c r="F9" s="8"/>
      <c r="G9" s="36">
        <f t="shared" si="1"/>
        <v>0</v>
      </c>
      <c r="H9" s="65"/>
    </row>
    <row r="10" spans="1:9" s="34" customFormat="1" ht="30" customHeight="1">
      <c r="A10" s="63" t="s">
        <v>99</v>
      </c>
      <c r="B10" s="58">
        <v>145.6</v>
      </c>
      <c r="C10" s="8"/>
      <c r="D10" s="64">
        <f t="shared" si="0"/>
        <v>0</v>
      </c>
      <c r="E10" s="38">
        <v>201.6</v>
      </c>
      <c r="F10" s="8"/>
      <c r="G10" s="36">
        <f t="shared" si="1"/>
        <v>0</v>
      </c>
      <c r="H10" s="65"/>
    </row>
    <row r="11" spans="1:9" ht="30" customHeight="1">
      <c r="A11" s="1" t="s">
        <v>68</v>
      </c>
      <c r="B11" s="7"/>
      <c r="C11" s="8"/>
      <c r="D11" s="64">
        <f t="shared" si="0"/>
        <v>0</v>
      </c>
      <c r="E11" s="7"/>
      <c r="F11" s="2"/>
      <c r="G11" s="36">
        <f t="shared" si="1"/>
        <v>0</v>
      </c>
      <c r="H11" s="60"/>
      <c r="I11" s="39"/>
    </row>
    <row r="12" spans="1:9" ht="30" customHeight="1" thickBot="1">
      <c r="A12" s="1" t="s">
        <v>68</v>
      </c>
      <c r="B12" s="12"/>
      <c r="C12" s="11"/>
      <c r="D12" s="66">
        <f t="shared" si="0"/>
        <v>0</v>
      </c>
      <c r="E12" s="12"/>
      <c r="F12" s="4"/>
      <c r="G12" s="62">
        <f t="shared" si="1"/>
        <v>0</v>
      </c>
      <c r="H12" s="67"/>
      <c r="I12" s="39"/>
    </row>
    <row r="13" spans="1:9" ht="30" customHeight="1" thickBot="1">
      <c r="A13" s="41" t="s">
        <v>38</v>
      </c>
      <c r="B13" s="42"/>
      <c r="C13" s="43">
        <f>SUM(C7:C12)</f>
        <v>0</v>
      </c>
      <c r="D13" s="44">
        <f>SUM(D7:D12)</f>
        <v>0</v>
      </c>
      <c r="E13" s="45"/>
      <c r="F13" s="46">
        <f>SUM(F7:F12)</f>
        <v>0</v>
      </c>
      <c r="G13" s="47">
        <f>SUM(G7:G12)</f>
        <v>0</v>
      </c>
      <c r="H13" s="68"/>
      <c r="I13" s="48"/>
    </row>
    <row r="15" spans="1:9" ht="14.4" thickBot="1"/>
    <row r="16" spans="1:9" ht="40.200000000000003" customHeight="1" thickBot="1">
      <c r="A16" s="138" t="s">
        <v>90</v>
      </c>
      <c r="B16" s="139"/>
    </row>
    <row r="17" spans="1:2">
      <c r="A17" s="49" t="s">
        <v>73</v>
      </c>
      <c r="B17" s="50">
        <f>C13+F13</f>
        <v>0</v>
      </c>
    </row>
    <row r="18" spans="1:2" ht="14.4" thickBot="1">
      <c r="A18" s="51" t="s">
        <v>57</v>
      </c>
      <c r="B18" s="52">
        <f>D13+G13</f>
        <v>0</v>
      </c>
    </row>
  </sheetData>
  <sheetProtection algorithmName="SHA-512" hashValue="HYb9oTT6vVyfFCx7yWjOlCIfLoPns79RU84XX1OKFObX+j9cRih+jeJeTwHUpCXR3Tlu2dmKEUsaG0x63WNP9A==" saltValue="ayT06uz6a8YXGCor2qwyiw==" spinCount="100000" sheet="1" objects="1" scenarios="1"/>
  <mergeCells count="6">
    <mergeCell ref="A16:B16"/>
    <mergeCell ref="A3:I3"/>
    <mergeCell ref="A1:I1"/>
    <mergeCell ref="A5:A6"/>
    <mergeCell ref="B5:D5"/>
    <mergeCell ref="E5:G5"/>
  </mergeCells>
  <pageMargins left="0.7" right="0.7" top="0.75" bottom="0.75" header="0.3" footer="0.3"/>
  <pageSetup paperSize="9" scale="4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view="pageBreakPreview" zoomScale="60" zoomScaleNormal="100" workbookViewId="0">
      <selection activeCell="F7" activeCellId="6" sqref="A3:I3 A11:A12 B11:B12 C7:C8 C11:C12 E11:E12 F7:F10"/>
    </sheetView>
  </sheetViews>
  <sheetFormatPr baseColWidth="10" defaultColWidth="9" defaultRowHeight="13.8"/>
  <cols>
    <col min="1" max="1" width="50.19921875" style="22" customWidth="1"/>
    <col min="2" max="2" width="20.3984375" style="22" customWidth="1"/>
    <col min="3" max="4" width="20.3984375" style="23" customWidth="1"/>
    <col min="5" max="7" width="19.19921875" style="22" customWidth="1"/>
    <col min="8" max="8" width="67.19921875" style="22" customWidth="1"/>
    <col min="9" max="16384" width="9" style="22"/>
  </cols>
  <sheetData>
    <row r="1" spans="1:9" ht="52.2" customHeight="1">
      <c r="A1" s="145" t="s">
        <v>82</v>
      </c>
      <c r="B1" s="145"/>
      <c r="C1" s="145"/>
      <c r="D1" s="145"/>
      <c r="E1" s="145"/>
      <c r="F1" s="145"/>
      <c r="G1" s="145"/>
      <c r="H1" s="145"/>
      <c r="I1" s="145"/>
    </row>
    <row r="3" spans="1:9" ht="19.2" customHeight="1">
      <c r="A3" s="147" t="str">
        <f>'Estimatif budgétaire'!A3:G3</f>
        <v>[Préciser ici le nom de votre collectivité]</v>
      </c>
      <c r="B3" s="147"/>
      <c r="C3" s="147"/>
      <c r="D3" s="147"/>
      <c r="E3" s="147"/>
      <c r="F3" s="147"/>
      <c r="G3" s="147"/>
      <c r="H3" s="147"/>
      <c r="I3" s="147"/>
    </row>
    <row r="4" spans="1:9" s="54" customFormat="1" ht="19.2" customHeight="1" thickBot="1">
      <c r="A4" s="53"/>
      <c r="B4" s="53"/>
      <c r="C4" s="53"/>
      <c r="D4" s="53"/>
      <c r="E4" s="53"/>
      <c r="F4" s="53"/>
      <c r="G4" s="53"/>
      <c r="H4" s="53"/>
      <c r="I4" s="53"/>
    </row>
    <row r="5" spans="1:9" s="24" customFormat="1" ht="14.4" thickBot="1">
      <c r="A5" s="149" t="s">
        <v>0</v>
      </c>
      <c r="B5" s="133" t="s">
        <v>51</v>
      </c>
      <c r="C5" s="148"/>
      <c r="D5" s="134"/>
      <c r="E5" s="143" t="s">
        <v>50</v>
      </c>
      <c r="F5" s="144"/>
      <c r="G5" s="136"/>
      <c r="H5" s="22"/>
    </row>
    <row r="6" spans="1:9" s="24" customFormat="1" ht="63" customHeight="1" thickBot="1">
      <c r="A6" s="150"/>
      <c r="B6" s="25" t="s">
        <v>52</v>
      </c>
      <c r="C6" s="26" t="s">
        <v>74</v>
      </c>
      <c r="D6" s="27" t="s">
        <v>56</v>
      </c>
      <c r="E6" s="28" t="s">
        <v>53</v>
      </c>
      <c r="F6" s="29" t="s">
        <v>75</v>
      </c>
      <c r="G6" s="30" t="s">
        <v>57</v>
      </c>
      <c r="H6" s="128" t="s">
        <v>1</v>
      </c>
    </row>
    <row r="7" spans="1:9" s="34" customFormat="1" ht="30" customHeight="1">
      <c r="A7" s="13" t="s">
        <v>15</v>
      </c>
      <c r="B7" s="55">
        <f>60*1.15</f>
        <v>69</v>
      </c>
      <c r="C7" s="10"/>
      <c r="D7" s="56">
        <f>B7*C7</f>
        <v>0</v>
      </c>
      <c r="E7" s="31">
        <f>70*1.15</f>
        <v>80.5</v>
      </c>
      <c r="F7" s="6"/>
      <c r="G7" s="32">
        <f>E7*F7</f>
        <v>0</v>
      </c>
      <c r="H7" s="57"/>
    </row>
    <row r="8" spans="1:9" s="34" customFormat="1" ht="30" customHeight="1">
      <c r="A8" s="19" t="s">
        <v>9</v>
      </c>
      <c r="B8" s="58">
        <f>55*1.15</f>
        <v>63.249999999999993</v>
      </c>
      <c r="C8" s="8"/>
      <c r="D8" s="59">
        <f t="shared" ref="D8:D12" si="0">B8*C8</f>
        <v>0</v>
      </c>
      <c r="E8" s="35">
        <f>55*1.15</f>
        <v>63.249999999999993</v>
      </c>
      <c r="F8" s="2"/>
      <c r="G8" s="36">
        <f t="shared" ref="G8:G12" si="1">E8*F8</f>
        <v>0</v>
      </c>
      <c r="H8" s="60"/>
    </row>
    <row r="9" spans="1:9" s="34" customFormat="1" ht="30" customHeight="1">
      <c r="A9" s="19" t="s">
        <v>48</v>
      </c>
      <c r="B9" s="14"/>
      <c r="C9" s="18"/>
      <c r="D9" s="16"/>
      <c r="E9" s="35">
        <f>800*1.15</f>
        <v>919.99999999999989</v>
      </c>
      <c r="F9" s="2"/>
      <c r="G9" s="36">
        <f t="shared" si="1"/>
        <v>0</v>
      </c>
      <c r="H9" s="60"/>
    </row>
    <row r="10" spans="1:9" s="34" customFormat="1" ht="30" customHeight="1">
      <c r="A10" s="20" t="s">
        <v>37</v>
      </c>
      <c r="B10" s="14"/>
      <c r="C10" s="18"/>
      <c r="D10" s="16"/>
      <c r="E10" s="35">
        <f>240*1.15</f>
        <v>276</v>
      </c>
      <c r="F10" s="2"/>
      <c r="G10" s="36">
        <f t="shared" si="1"/>
        <v>0</v>
      </c>
      <c r="H10" s="60"/>
    </row>
    <row r="11" spans="1:9" ht="30" customHeight="1">
      <c r="A11" s="1" t="s">
        <v>68</v>
      </c>
      <c r="B11" s="7"/>
      <c r="C11" s="8"/>
      <c r="D11" s="59">
        <f t="shared" si="0"/>
        <v>0</v>
      </c>
      <c r="E11" s="7"/>
      <c r="F11" s="156"/>
      <c r="G11" s="36">
        <f t="shared" si="1"/>
        <v>0</v>
      </c>
      <c r="H11" s="60"/>
    </row>
    <row r="12" spans="1:9" ht="30" customHeight="1" thickBot="1">
      <c r="A12" s="1" t="s">
        <v>68</v>
      </c>
      <c r="B12" s="12"/>
      <c r="C12" s="8"/>
      <c r="D12" s="61">
        <f t="shared" si="0"/>
        <v>0</v>
      </c>
      <c r="E12" s="12"/>
      <c r="F12" s="156"/>
      <c r="G12" s="62">
        <f t="shared" si="1"/>
        <v>0</v>
      </c>
      <c r="H12" s="60"/>
    </row>
    <row r="13" spans="1:9" ht="30" customHeight="1" thickBot="1">
      <c r="A13" s="41" t="s">
        <v>41</v>
      </c>
      <c r="B13" s="42"/>
      <c r="C13" s="43">
        <f>SUM(C7:C12)</f>
        <v>0</v>
      </c>
      <c r="D13" s="44">
        <f>SUM(D7:D12)</f>
        <v>0</v>
      </c>
      <c r="E13" s="45"/>
      <c r="F13" s="46">
        <f>SUM(F7:F12)</f>
        <v>0</v>
      </c>
      <c r="G13" s="47">
        <f>SUM(G7:G12)</f>
        <v>0</v>
      </c>
    </row>
    <row r="15" spans="1:9" ht="14.4" thickBot="1"/>
    <row r="16" spans="1:9" ht="40.200000000000003" customHeight="1" thickBot="1">
      <c r="A16" s="138" t="s">
        <v>60</v>
      </c>
      <c r="B16" s="139"/>
    </row>
    <row r="17" spans="1:2">
      <c r="A17" s="49" t="s">
        <v>73</v>
      </c>
      <c r="B17" s="50">
        <f>C13+F13</f>
        <v>0</v>
      </c>
    </row>
    <row r="18" spans="1:2" ht="14.4" thickBot="1">
      <c r="A18" s="51" t="s">
        <v>57</v>
      </c>
      <c r="B18" s="52">
        <f>D13+G13</f>
        <v>0</v>
      </c>
    </row>
  </sheetData>
  <sheetProtection algorithmName="SHA-512" hashValue="CodNYHpgdgAl2UiFJiJRthhBg5nucOjDf27lZmkHWSh3rwlvcqNX0uDmwObpswrw8NDjo/clbSNvbqkd3DfOzQ==" saltValue="jD33qsy/RvTQ890xUNiISA==" spinCount="100000" sheet="1" objects="1" scenarios="1"/>
  <mergeCells count="6">
    <mergeCell ref="A3:I3"/>
    <mergeCell ref="A1:I1"/>
    <mergeCell ref="A16:B16"/>
    <mergeCell ref="A5:A6"/>
    <mergeCell ref="B5:D5"/>
    <mergeCell ref="E5:G5"/>
  </mergeCells>
  <pageMargins left="0.7" right="0.7" top="0.75" bottom="0.75" header="0.3" footer="0.3"/>
  <pageSetup paperSize="9" scale="4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showGridLines="0" view="pageBreakPreview" zoomScale="60" zoomScaleNormal="100" workbookViewId="0">
      <selection activeCell="E19" activeCellId="3" sqref="A3:I3 A19:A20 F7:F20 E19:E20"/>
    </sheetView>
  </sheetViews>
  <sheetFormatPr baseColWidth="10" defaultColWidth="9" defaultRowHeight="13.8"/>
  <cols>
    <col min="1" max="1" width="48.5" style="22" customWidth="1"/>
    <col min="2" max="2" width="20.3984375" style="22" customWidth="1"/>
    <col min="3" max="4" width="20.3984375" style="23" customWidth="1"/>
    <col min="5" max="7" width="19.19921875" style="22" customWidth="1"/>
    <col min="8" max="8" width="67.19921875" style="22" customWidth="1"/>
    <col min="9" max="16384" width="9" style="22"/>
  </cols>
  <sheetData>
    <row r="1" spans="1:9" ht="52.2" customHeight="1">
      <c r="A1" s="145" t="s">
        <v>97</v>
      </c>
      <c r="B1" s="145"/>
      <c r="C1" s="145"/>
      <c r="D1" s="145"/>
      <c r="E1" s="145"/>
      <c r="F1" s="145"/>
      <c r="G1" s="145"/>
      <c r="H1" s="145"/>
      <c r="I1" s="145"/>
    </row>
    <row r="3" spans="1:9" ht="19.2" customHeight="1">
      <c r="A3" s="147" t="str">
        <f>'Estimatif budgétaire'!A3:G3</f>
        <v>[Préciser ici le nom de votre collectivité]</v>
      </c>
      <c r="B3" s="147"/>
      <c r="C3" s="147"/>
      <c r="D3" s="147"/>
      <c r="E3" s="147"/>
      <c r="F3" s="147"/>
      <c r="G3" s="147"/>
      <c r="H3" s="147"/>
      <c r="I3" s="147"/>
    </row>
    <row r="4" spans="1:9" ht="14.4" thickBot="1"/>
    <row r="5" spans="1:9" s="24" customFormat="1" ht="14.4" thickBot="1">
      <c r="A5" s="154" t="s">
        <v>0</v>
      </c>
      <c r="B5" s="133" t="s">
        <v>51</v>
      </c>
      <c r="C5" s="148"/>
      <c r="D5" s="134"/>
      <c r="E5" s="143" t="s">
        <v>50</v>
      </c>
      <c r="F5" s="144"/>
      <c r="G5" s="136"/>
      <c r="H5" s="22"/>
    </row>
    <row r="6" spans="1:9" s="24" customFormat="1" ht="72" customHeight="1" thickBot="1">
      <c r="A6" s="155"/>
      <c r="B6" s="25" t="s">
        <v>52</v>
      </c>
      <c r="C6" s="26" t="s">
        <v>74</v>
      </c>
      <c r="D6" s="27" t="s">
        <v>56</v>
      </c>
      <c r="E6" s="28" t="s">
        <v>53</v>
      </c>
      <c r="F6" s="29" t="s">
        <v>75</v>
      </c>
      <c r="G6" s="30" t="s">
        <v>57</v>
      </c>
      <c r="H6" s="128" t="s">
        <v>1</v>
      </c>
    </row>
    <row r="7" spans="1:9" s="34" customFormat="1" ht="30" customHeight="1">
      <c r="A7" s="13" t="s">
        <v>40</v>
      </c>
      <c r="B7" s="14"/>
      <c r="C7" s="15"/>
      <c r="D7" s="16"/>
      <c r="E7" s="31">
        <f>235*1.12</f>
        <v>263.20000000000005</v>
      </c>
      <c r="F7" s="6"/>
      <c r="G7" s="32">
        <f>E7*F7</f>
        <v>0</v>
      </c>
      <c r="H7" s="33"/>
    </row>
    <row r="8" spans="1:9" s="34" customFormat="1" ht="30" customHeight="1">
      <c r="A8" s="17" t="s">
        <v>17</v>
      </c>
      <c r="B8" s="14"/>
      <c r="C8" s="18"/>
      <c r="D8" s="16"/>
      <c r="E8" s="35">
        <f>100*1.12</f>
        <v>112.00000000000001</v>
      </c>
      <c r="F8" s="2"/>
      <c r="G8" s="36">
        <f t="shared" ref="G8:G20" si="0">E8*F8</f>
        <v>0</v>
      </c>
      <c r="H8" s="37"/>
    </row>
    <row r="9" spans="1:9" s="34" customFormat="1" ht="30" customHeight="1">
      <c r="A9" s="19" t="s">
        <v>49</v>
      </c>
      <c r="B9" s="14"/>
      <c r="C9" s="18"/>
      <c r="D9" s="16"/>
      <c r="E9" s="35">
        <f>1400*1.12</f>
        <v>1568.0000000000002</v>
      </c>
      <c r="F9" s="2"/>
      <c r="G9" s="36">
        <f t="shared" si="0"/>
        <v>0</v>
      </c>
      <c r="H9" s="37"/>
    </row>
    <row r="10" spans="1:9" s="34" customFormat="1" ht="30" customHeight="1">
      <c r="A10" s="19" t="s">
        <v>11</v>
      </c>
      <c r="B10" s="14"/>
      <c r="C10" s="18"/>
      <c r="D10" s="16"/>
      <c r="E10" s="35">
        <f>500*1.12</f>
        <v>560</v>
      </c>
      <c r="F10" s="2"/>
      <c r="G10" s="36">
        <f t="shared" si="0"/>
        <v>0</v>
      </c>
      <c r="H10" s="37"/>
    </row>
    <row r="11" spans="1:9" s="34" customFormat="1" ht="30" customHeight="1">
      <c r="A11" s="19" t="s">
        <v>12</v>
      </c>
      <c r="B11" s="14"/>
      <c r="C11" s="18"/>
      <c r="D11" s="16"/>
      <c r="E11" s="35">
        <f>1625*1.12</f>
        <v>1820.0000000000002</v>
      </c>
      <c r="F11" s="2"/>
      <c r="G11" s="36">
        <f t="shared" si="0"/>
        <v>0</v>
      </c>
      <c r="H11" s="37"/>
    </row>
    <row r="12" spans="1:9" s="34" customFormat="1" ht="30" customHeight="1">
      <c r="A12" s="19" t="s">
        <v>13</v>
      </c>
      <c r="B12" s="14"/>
      <c r="C12" s="18"/>
      <c r="D12" s="16"/>
      <c r="E12" s="35">
        <f>1720*1.12</f>
        <v>1926.4</v>
      </c>
      <c r="F12" s="2"/>
      <c r="G12" s="36">
        <f t="shared" si="0"/>
        <v>0</v>
      </c>
      <c r="H12" s="37"/>
    </row>
    <row r="13" spans="1:9" s="34" customFormat="1" ht="30" customHeight="1">
      <c r="A13" s="19" t="s">
        <v>14</v>
      </c>
      <c r="B13" s="14"/>
      <c r="C13" s="18"/>
      <c r="D13" s="16"/>
      <c r="E13" s="35">
        <f>500*1.12</f>
        <v>560</v>
      </c>
      <c r="F13" s="2"/>
      <c r="G13" s="36">
        <f t="shared" si="0"/>
        <v>0</v>
      </c>
      <c r="H13" s="37"/>
    </row>
    <row r="14" spans="1:9" s="34" customFormat="1" ht="30" customHeight="1">
      <c r="A14" s="19" t="s">
        <v>16</v>
      </c>
      <c r="B14" s="14"/>
      <c r="C14" s="18"/>
      <c r="D14" s="16"/>
      <c r="E14" s="35">
        <f>50*1.12</f>
        <v>56.000000000000007</v>
      </c>
      <c r="F14" s="2"/>
      <c r="G14" s="36">
        <f t="shared" si="0"/>
        <v>0</v>
      </c>
      <c r="H14" s="37"/>
    </row>
    <row r="15" spans="1:9" s="34" customFormat="1" ht="30" customHeight="1">
      <c r="A15" s="20" t="s">
        <v>70</v>
      </c>
      <c r="B15" s="14"/>
      <c r="C15" s="18"/>
      <c r="D15" s="16"/>
      <c r="E15" s="38">
        <f>1720*1.12</f>
        <v>1926.4</v>
      </c>
      <c r="F15" s="2"/>
      <c r="G15" s="36">
        <f t="shared" si="0"/>
        <v>0</v>
      </c>
      <c r="H15" s="37"/>
    </row>
    <row r="16" spans="1:9" s="34" customFormat="1" ht="30" customHeight="1">
      <c r="A16" s="20" t="s">
        <v>71</v>
      </c>
      <c r="B16" s="14"/>
      <c r="C16" s="18"/>
      <c r="D16" s="16"/>
      <c r="E16" s="38">
        <f>500*1.12</f>
        <v>560</v>
      </c>
      <c r="F16" s="2"/>
      <c r="G16" s="36">
        <f t="shared" si="0"/>
        <v>0</v>
      </c>
      <c r="H16" s="37"/>
    </row>
    <row r="17" spans="1:9" ht="30" customHeight="1">
      <c r="A17" s="21" t="s">
        <v>79</v>
      </c>
      <c r="B17" s="14"/>
      <c r="C17" s="18"/>
      <c r="D17" s="16"/>
      <c r="E17" s="38">
        <f>30*1.12</f>
        <v>33.6</v>
      </c>
      <c r="F17" s="2"/>
      <c r="G17" s="36">
        <f t="shared" si="0"/>
        <v>0</v>
      </c>
      <c r="H17" s="37"/>
      <c r="I17" s="39"/>
    </row>
    <row r="18" spans="1:9" ht="30" customHeight="1">
      <c r="A18" s="21" t="s">
        <v>80</v>
      </c>
      <c r="B18" s="14"/>
      <c r="C18" s="70"/>
      <c r="D18" s="16"/>
      <c r="E18" s="40">
        <f>50*1.12</f>
        <v>56.000000000000007</v>
      </c>
      <c r="F18" s="4"/>
      <c r="G18" s="36">
        <f t="shared" si="0"/>
        <v>0</v>
      </c>
      <c r="H18" s="69"/>
      <c r="I18" s="39"/>
    </row>
    <row r="19" spans="1:9" ht="30" customHeight="1">
      <c r="A19" s="9" t="s">
        <v>87</v>
      </c>
      <c r="B19" s="14"/>
      <c r="C19" s="18"/>
      <c r="D19" s="16"/>
      <c r="E19" s="7"/>
      <c r="F19" s="2"/>
      <c r="G19" s="36">
        <f t="shared" si="0"/>
        <v>0</v>
      </c>
      <c r="H19" s="60"/>
      <c r="I19" s="48"/>
    </row>
    <row r="20" spans="1:9" ht="30" customHeight="1" thickBot="1">
      <c r="A20" s="9" t="s">
        <v>87</v>
      </c>
      <c r="B20" s="14"/>
      <c r="C20" s="18"/>
      <c r="D20" s="16"/>
      <c r="E20" s="7"/>
      <c r="F20" s="2"/>
      <c r="G20" s="36">
        <f t="shared" si="0"/>
        <v>0</v>
      </c>
      <c r="H20" s="37"/>
      <c r="I20" s="48"/>
    </row>
    <row r="21" spans="1:9" ht="30" customHeight="1" thickBot="1">
      <c r="A21" s="41" t="s">
        <v>39</v>
      </c>
      <c r="B21" s="42"/>
      <c r="C21" s="43">
        <f>SUM(C7:C20)</f>
        <v>0</v>
      </c>
      <c r="D21" s="44">
        <f>SUM(D7:D20)</f>
        <v>0</v>
      </c>
      <c r="E21" s="45"/>
      <c r="F21" s="46">
        <f>SUM(F7:F20)</f>
        <v>0</v>
      </c>
      <c r="G21" s="47">
        <f>SUM(G7:G20)</f>
        <v>0</v>
      </c>
      <c r="I21" s="48"/>
    </row>
    <row r="23" spans="1:9" ht="14.4" thickBot="1"/>
    <row r="24" spans="1:9" ht="56.4" customHeight="1" thickBot="1">
      <c r="A24" s="138" t="s">
        <v>59</v>
      </c>
      <c r="B24" s="139"/>
    </row>
    <row r="25" spans="1:9">
      <c r="A25" s="49" t="s">
        <v>73</v>
      </c>
      <c r="B25" s="50">
        <f>C21+F21</f>
        <v>0</v>
      </c>
    </row>
    <row r="26" spans="1:9" ht="14.4" thickBot="1">
      <c r="A26" s="51" t="s">
        <v>57</v>
      </c>
      <c r="B26" s="52">
        <f>D21+G21</f>
        <v>0</v>
      </c>
    </row>
  </sheetData>
  <sheetProtection algorithmName="SHA-512" hashValue="U8bSWasMhdpIKtWxh/NoINgCr3pkQjh38Fu4rXDQNv//Orz2TFLTkp2H3nA0OS7wfDUMyY07N61W9ZgMTxgKxw==" saltValue="daWfhjSLbyVVEIIGjyTk5w==" spinCount="100000" sheet="1" objects="1" scenarios="1"/>
  <mergeCells count="6">
    <mergeCell ref="A3:I3"/>
    <mergeCell ref="A1:I1"/>
    <mergeCell ref="A24:B24"/>
    <mergeCell ref="A5:A6"/>
    <mergeCell ref="B5:D5"/>
    <mergeCell ref="E5:G5"/>
  </mergeCells>
  <pageMargins left="0.7" right="0.7" top="0.75" bottom="0.75" header="0.3" footer="0.3"/>
  <pageSetup paperSize="9" scale="4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workbookViewId="0"/>
  </sheetViews>
  <sheetFormatPr baseColWidth="10" defaultRowHeight="13.8"/>
  <cols>
    <col min="1" max="1" width="85.59765625" bestFit="1" customWidth="1"/>
  </cols>
  <sheetData>
    <row r="1" spans="1:1">
      <c r="A1" t="s">
        <v>2</v>
      </c>
    </row>
    <row r="2" spans="1:1">
      <c r="A2" t="s">
        <v>5</v>
      </c>
    </row>
    <row r="3" spans="1:1">
      <c r="A3" t="s">
        <v>3</v>
      </c>
    </row>
    <row r="4" spans="1:1">
      <c r="A4" t="s">
        <v>4</v>
      </c>
    </row>
    <row r="6" spans="1:1">
      <c r="A6" t="s">
        <v>6</v>
      </c>
    </row>
    <row r="7" spans="1:1">
      <c r="A7" t="s">
        <v>8</v>
      </c>
    </row>
    <row r="8" spans="1:1">
      <c r="A8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8</vt:i4>
      </vt:variant>
    </vt:vector>
  </HeadingPairs>
  <TitlesOfParts>
    <vt:vector size="17" baseType="lpstr">
      <vt:lpstr>Estimatif budgétaire</vt:lpstr>
      <vt:lpstr>CACES</vt:lpstr>
      <vt:lpstr>Risques électriques</vt:lpstr>
      <vt:lpstr>Risques à la personne_SST</vt:lpstr>
      <vt:lpstr>Risques à la personne_PSC1</vt:lpstr>
      <vt:lpstr>Risques à la personne_PRAP</vt:lpstr>
      <vt:lpstr>Risques incendie</vt:lpstr>
      <vt:lpstr>Code&amp;Permis</vt:lpstr>
      <vt:lpstr>Données</vt:lpstr>
      <vt:lpstr>ChoixGroupement</vt:lpstr>
      <vt:lpstr>ChoixLot</vt:lpstr>
      <vt:lpstr>CACES!Zone_d_impression</vt:lpstr>
      <vt:lpstr>'Code&amp;Permis'!Zone_d_impression</vt:lpstr>
      <vt:lpstr>'Risques à la personne_PRAP'!Zone_d_impression</vt:lpstr>
      <vt:lpstr>'Risques à la personne_PSC1'!Zone_d_impression</vt:lpstr>
      <vt:lpstr>'Risques électriques'!Zone_d_impression</vt:lpstr>
      <vt:lpstr>'Risques incendie'!Zone_d_impression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2025-01-30T15:47:13Z</dcterms:modified>
</cp:coreProperties>
</file>